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F8B8BD54-5B3E-E644-BAEF-80AB6BC15917}"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T2" i="1" l="1"/>
  <c r="BT3" i="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F330" i="1"/>
  <c r="BT330" i="1"/>
  <c r="BF331" i="1"/>
  <c r="BT331" i="1"/>
  <c r="BF332" i="1"/>
  <c r="BT332" i="1"/>
  <c r="BF333" i="1"/>
  <c r="BT333" i="1"/>
  <c r="BF334" i="1"/>
  <c r="BT334" i="1"/>
  <c r="BF335" i="1"/>
  <c r="BT335"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T351" i="1"/>
  <c r="BF352" i="1"/>
  <c r="BT352" i="1"/>
  <c r="BF353" i="1"/>
  <c r="BT353" i="1"/>
  <c r="BF354" i="1"/>
  <c r="BT354" i="1"/>
  <c r="BT355" i="1"/>
  <c r="BT356"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T387"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T416" i="1"/>
  <c r="BF417" i="1"/>
  <c r="BT417"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T477" i="1"/>
  <c r="BF478" i="1"/>
  <c r="BT478" i="1"/>
  <c r="BF479" i="1"/>
  <c r="BT479" i="1"/>
  <c r="BT480"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T535" i="1"/>
  <c r="BF536" i="1"/>
  <c r="BT536" i="1"/>
  <c r="BF537" i="1"/>
  <c r="BT537" i="1"/>
  <c r="BF538" i="1"/>
  <c r="BT538" i="1"/>
  <c r="BT539"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T585" i="1"/>
  <c r="BF586" i="1"/>
  <c r="BT586" i="1"/>
  <c r="BT587" i="1"/>
  <c r="BF588" i="1"/>
  <c r="BT588" i="1"/>
  <c r="BT589" i="1"/>
  <c r="BF590" i="1"/>
  <c r="BT590" i="1"/>
  <c r="BF591" i="1"/>
  <c r="BT591" i="1"/>
  <c r="BF592" i="1"/>
  <c r="BT592"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T634" i="1"/>
  <c r="BF635" i="1"/>
  <c r="BT635" i="1"/>
  <c r="BF636" i="1"/>
  <c r="BT636" i="1"/>
  <c r="BF637" i="1"/>
  <c r="BT637" i="1"/>
  <c r="BF638" i="1"/>
  <c r="BT638" i="1"/>
  <c r="BF639" i="1"/>
  <c r="BT639" i="1"/>
  <c r="BF640" i="1"/>
  <c r="BT640" i="1"/>
  <c r="BF641" i="1"/>
  <c r="BT641"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T670" i="1"/>
  <c r="BF671" i="1"/>
  <c r="BT671" i="1"/>
  <c r="BF672" i="1"/>
  <c r="BT672" i="1"/>
  <c r="BF673" i="1"/>
  <c r="BT673" i="1"/>
  <c r="BF674" i="1"/>
  <c r="BT674" i="1"/>
  <c r="BF675" i="1"/>
  <c r="BT675" i="1"/>
  <c r="BF676" i="1"/>
  <c r="BT676" i="1"/>
  <c r="BF677" i="1"/>
  <c r="BT677" i="1"/>
  <c r="BF678" i="1"/>
  <c r="BT678" i="1"/>
  <c r="BF679" i="1"/>
  <c r="BT679" i="1"/>
  <c r="BT680"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T731" i="1"/>
  <c r="BT732" i="1"/>
  <c r="BF733" i="1"/>
  <c r="BT733" i="1"/>
  <c r="BF734" i="1"/>
  <c r="BT734" i="1"/>
  <c r="BT735" i="1"/>
  <c r="BF736" i="1"/>
  <c r="BT736" i="1"/>
  <c r="BF737" i="1"/>
  <c r="BT737" i="1"/>
  <c r="BF738" i="1"/>
  <c r="BT738" i="1"/>
  <c r="BF739" i="1"/>
  <c r="BT739" i="1"/>
  <c r="BF740" i="1"/>
  <c r="BT740" i="1"/>
  <c r="BF741" i="1"/>
  <c r="BT741" i="1"/>
  <c r="BF742" i="1"/>
  <c r="BT742" i="1"/>
  <c r="BF743" i="1"/>
  <c r="BT743"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T776" i="1"/>
  <c r="BF777" i="1"/>
  <c r="BT777" i="1"/>
  <c r="BF778" i="1"/>
  <c r="BT778" i="1"/>
  <c r="BF779" i="1"/>
  <c r="BT779" i="1"/>
  <c r="BF780" i="1"/>
  <c r="BT780" i="1"/>
  <c r="BT781" i="1"/>
  <c r="BT782" i="1"/>
  <c r="BF783" i="1"/>
  <c r="BT783" i="1"/>
  <c r="BF784" i="1"/>
  <c r="BT784"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T798" i="1"/>
  <c r="BT799" i="1"/>
  <c r="BT800" i="1"/>
  <c r="BF801" i="1"/>
  <c r="BT801" i="1"/>
  <c r="BF802" i="1"/>
  <c r="BT802" i="1"/>
  <c r="BF803" i="1"/>
  <c r="BT803" i="1"/>
  <c r="BF804" i="1"/>
  <c r="BT804" i="1"/>
  <c r="BF805" i="1"/>
  <c r="BT805" i="1"/>
  <c r="BF806" i="1"/>
  <c r="BT806" i="1"/>
  <c r="BF807" i="1"/>
  <c r="BT807" i="1"/>
  <c r="BT808" i="1"/>
  <c r="BT809" i="1"/>
  <c r="BT810" i="1"/>
  <c r="BT811" i="1"/>
  <c r="BT812" i="1"/>
  <c r="BT813" i="1"/>
  <c r="BT814"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T831" i="1"/>
  <c r="BF832" i="1"/>
  <c r="BT832" i="1"/>
  <c r="BF833" i="1"/>
  <c r="BT833" i="1"/>
  <c r="BF834" i="1"/>
  <c r="BT834" i="1"/>
  <c r="BF835" i="1"/>
  <c r="BT835" i="1"/>
  <c r="BF836" i="1"/>
  <c r="BT836" i="1"/>
  <c r="BF837" i="1"/>
  <c r="BT837" i="1"/>
  <c r="BF838" i="1"/>
  <c r="BT838" i="1"/>
  <c r="BF839" i="1"/>
  <c r="BT839" i="1"/>
  <c r="BF840" i="1"/>
  <c r="BT840" i="1"/>
  <c r="BF841" i="1"/>
  <c r="BT841" i="1"/>
  <c r="BT842" i="1"/>
  <c r="BF843" i="1"/>
  <c r="BT843" i="1"/>
  <c r="BF844" i="1"/>
  <c r="BT844" i="1"/>
  <c r="BF845" i="1"/>
  <c r="BT845" i="1"/>
  <c r="BF846" i="1"/>
  <c r="BT846" i="1"/>
  <c r="BF847" i="1"/>
  <c r="BT847" i="1"/>
  <c r="BF848" i="1"/>
  <c r="BT848" i="1"/>
  <c r="BF849" i="1"/>
  <c r="BT849" i="1"/>
  <c r="BF850" i="1"/>
  <c r="BT850" i="1"/>
  <c r="BF851" i="1"/>
  <c r="BT851" i="1"/>
  <c r="BF852" i="1"/>
  <c r="BT852"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<sst xmlns="http://schemas.openxmlformats.org/spreadsheetml/2006/main" count="60391" uniqueCount="13395">
  <si>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</si>
  <si>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</si>
  <si>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</si>
  <si>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</si>
  <si>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</si>
  <si>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</si>
  <si>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</si>
  <si>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</si>
  <si>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</si>
  <si>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</si>
  <si>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</si>
  <si>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</si>
  <si>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</si>
  <si>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</si>
  <si>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</si>
  <si>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</si>
  <si>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</si>
  <si>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</si>
  <si>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</si>
  <si>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</si>
  <si>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</si>
  <si>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</si>
  <si>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</si>
  <si>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</si>
  <si>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</si>
  <si>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</si>
  <si>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</si>
  <si>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</si>
  <si>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</si>
  <si>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</si>
  <si>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</si>
  <si>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</si>
  <si>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</si>
  <si>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</si>
  <si>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</si>
  <si>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</si>
  <si>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</si>
  <si>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</si>
  <si>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</si>
  <si>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</si>
  <si>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</si>
  <si>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</si>
  <si>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</si>
  <si>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</si>
  <si>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</si>
  <si>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</si>
  <si>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</si>
  <si>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</si>
  <si>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</si>
  <si>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</si>
  <si>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</si>
  <si>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</si>
  <si>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</si>
  <si>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</si>
  <si>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</si>
  <si>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</si>
  <si>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</si>
  <si>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</si>
  <si>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</si>
  <si>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</si>
  <si>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</si>
  <si>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</si>
  <si>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</si>
  <si>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</si>
  <si>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</si>
  <si>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</si>
  <si>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</si>
  <si>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</si>
  <si>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</si>
  <si>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</si>
  <si>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</si>
  <si>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</si>
  <si>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</si>
  <si>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Bonal, L; Quirico, E; Bourot-Denise, M; Montagnac, G</t>
  </si>
  <si>
    <t/>
  </si>
  <si>
    <t>Bonal, L.; Quirico, E.; Bourot-Denise, M.; Montagnac, G.</t>
  </si>
  <si>
    <t>Metamorphic grade of type 3 chondrites as evaluated by Raman spectroscopy of the polyaromatic organic matter</t>
  </si>
  <si>
    <t>METEORITICS &amp; PLANETARY SCIENCE</t>
  </si>
  <si>
    <t>English</t>
  </si>
  <si>
    <t>Workshop on Antarctic Meteorites - Search, Recovery, and Classification</t>
  </si>
  <si>
    <t>JUL 26-27, 2008</t>
  </si>
  <si>
    <t>Inst Polar Res, Antarctic Meteorite Res Ctr, Matsue, JAPAN</t>
  </si>
  <si>
    <t>Inst Polar Res, Antarctic Meteorite Res Ctr</t>
  </si>
  <si>
    <t>[Bonal, L.] Univ Hawaii Manoa, HIGP SOEST, Honolulu, HI 96822 USA; [Bonal, L.; Quirico, E.] Univ Grenoble 1, Lab Planetol Grenoble, Grenoble, France; [Montagnac, G.] LST ENS, Lyon, France; [Montagnac, G.] LEME Museum Natl Hist Nat, Paris, France</t>
  </si>
  <si>
    <t>University of Hawaii System; University of Hawaii Manoa; Communaute Universite Grenoble Alpes; Universite Grenoble Alpes (UGA); Ecole Normale Superieure de Lyon (ENS de LYON); Museum National d'Histoire Naturelle (MNHN)</t>
  </si>
  <si>
    <t>bonal@higp.hawaii.edu</t>
  </si>
  <si>
    <t>Montagnac, Gilles/S-6440-2019</t>
  </si>
  <si>
    <t>Montagnac, Gilles/0000-0001-9938-0282</t>
  </si>
  <si>
    <t>WILEY</t>
  </si>
  <si>
    <t>HOBOKEN</t>
  </si>
  <si>
    <t>111 RIVER ST, HOBOKEN 07030-5774, NJ USA</t>
  </si>
  <si>
    <t>1086-9379</t>
  </si>
  <si>
    <t>1945-5100</t>
  </si>
  <si>
    <t>METEORIT PLANET SCI</t>
  </si>
  <si>
    <t>Meteorit. Planet. Sci.</t>
  </si>
  <si>
    <t>JUL</t>
  </si>
  <si>
    <t>S</t>
  </si>
  <si>
    <t>A180</t>
  </si>
  <si>
    <t>Geochemistry &amp; Geophysics</t>
  </si>
  <si>
    <t>Science Citation Index Expanded (SCI-EXPANDED); Conference Proceedings Citation Index - Science (CPCI-S)</t>
  </si>
  <si>
    <t>326TZ</t>
  </si>
  <si>
    <t>2024-04-21</t>
  </si>
  <si>
    <t>WOS:000257683100336</t>
  </si>
  <si>
    <t>Bonal, L; Huss, GR; Krot, AN; Nagashima, K</t>
  </si>
  <si>
    <t>Bonal, L.; Huss, G. R.; Krot, A. N.; Nagashima, K.</t>
  </si>
  <si>
    <t>Isotopic characterization of the organic matter in the lithic clasts in the CH/CB-like chondrite isheyevo</t>
  </si>
  <si>
    <t>NITROGEN</t>
  </si>
  <si>
    <t>[Bonal, L.; Huss, G. R.; Krot, A. N.; Nagashima, K.] Univ Hawaii Manoa, HIGP SOEST, Honolulu, HI 96822 USA</t>
  </si>
  <si>
    <t>University of Hawaii System; University of Hawaii Manoa</t>
  </si>
  <si>
    <t>METEORITICAL SOC</t>
  </si>
  <si>
    <t>FAYETTEVILLE</t>
  </si>
  <si>
    <t>DEPT CHEMISTRY/BIOCHEMISTRY, UNIV ARKANSAS, FAYETTEVILLE, AR 72701 USA</t>
  </si>
  <si>
    <t>A27</t>
  </si>
  <si>
    <t>Conference Proceedings Citation Index - Science (CPCI-S); Science Citation Index Expanded (SCI-EXPANDED)</t>
  </si>
  <si>
    <t>WOS:000257683100031</t>
  </si>
  <si>
    <t>Bose, M; Floss, C; Stadermann, FJ</t>
  </si>
  <si>
    <t>Bose, M.; Floss, C.; Stadermann, F. J.</t>
  </si>
  <si>
    <t>Iron-enriched stardust grains in the meteorites acfer 094, que 99177, and met 00426</t>
  </si>
  <si>
    <t>Washington Univ, Space Sci Lab, St Louis, MO 63130 USA; Washington Univ, Dept Phys, St Louis, MO 63130 USA</t>
  </si>
  <si>
    <t>Washington University (WUSTL); Washington University (WUSTL)</t>
  </si>
  <si>
    <t>mbose@physics.wustl.edu</t>
  </si>
  <si>
    <t>WOS:000257683100032</t>
  </si>
  <si>
    <t>Bouvier, A; Wadhwa, M; Janney, P</t>
  </si>
  <si>
    <t>Bouvier, A.; Wadhwa, M.; Janney, P.</t>
  </si>
  <si>
    <t>26Al-26Mg and 201Pb-206Pb systematics in an allende inclusion</t>
  </si>
  <si>
    <t>AGES</t>
  </si>
  <si>
    <t>[Bouvier, A.; Wadhwa, M.; Janney, P.] Arizona State Univ, SESE, Tempe, AZ USA</t>
  </si>
  <si>
    <t>Arizona State University; Arizona State University-Tempe</t>
  </si>
  <si>
    <t>audrey.bouvier@asu.edu</t>
  </si>
  <si>
    <t>Janney, Philip E/K-2733-2013; Bouvier, Audrey/A-3035-2011</t>
  </si>
  <si>
    <t>A28</t>
  </si>
  <si>
    <t>WOS:000257683100033</t>
  </si>
  <si>
    <t>Brunner, CE; Ebel, DS; Weisberg, MK</t>
  </si>
  <si>
    <t>Brunner, C. E.; Ebel, D. S.; Weisberg, M. K.</t>
  </si>
  <si>
    <t>Abundances and sizes of clast types in the allende CV3 meteorite: New results from mapping analysis</t>
  </si>
  <si>
    <t>OLIVINE</t>
  </si>
  <si>
    <t>[Brunner, C. E.] Western Kentucky Univ, Dept Geog &amp; Geol, Bowling Green, KY 42101 USA; [Ebel, D. S.] Amer Museum Nat Hist, Dept Earth &amp; Planetary Sci, New York, NY 10024 USA; [Weisberg, M. K.] CUNY, Kingsborough Coll, Dept Phys Sci, Brooklyn, NY 11235 USA</t>
  </si>
  <si>
    <t>Western Kentucky University; American Museum of Natural History (AMNH); City University of New York (CUNY) System</t>
  </si>
  <si>
    <t>Chelsea.brunner@wku.edu; debel@amnh.org; mweisberg@kbcc.cuny.edu</t>
  </si>
  <si>
    <t>WOS:000257683100034</t>
  </si>
  <si>
    <t>Bullock, ES; MacPherson, GJ</t>
  </si>
  <si>
    <t>Bullock, E. S.; MacPherson, G. J.</t>
  </si>
  <si>
    <t>Creating a new, comprehensive CAI reference suite, part one: Vigarano</t>
  </si>
  <si>
    <t>ALLENDE</t>
  </si>
  <si>
    <t>[Bullock, E. S.; MacPherson, G. J.] Smithsonian Inst, Natl Museum Nat Hist, Dept Mineral Sci, Washington, DC 20560 USA</t>
  </si>
  <si>
    <t>Smithsonian Institution; Smithsonian National Museum of Natural History</t>
  </si>
  <si>
    <t>BullockE@si.edu</t>
  </si>
  <si>
    <t>Bullock, Emma/A-3870-2016</t>
  </si>
  <si>
    <t>Bullock, Emma/0000-0002-5678-3695</t>
  </si>
  <si>
    <t>WILEY-BLACKWELL</t>
  </si>
  <si>
    <t>MALDEN</t>
  </si>
  <si>
    <t>COMMERCE PLACE, 350 MAIN ST, MALDEN 02148, MA USA</t>
  </si>
  <si>
    <t>A29</t>
  </si>
  <si>
    <t>WOS:000257683100035</t>
  </si>
  <si>
    <t>Bunch, TE; Irving, AJ; Wittke, JH; Kuehner, SM</t>
  </si>
  <si>
    <t>Bunch, T. E.; Irving, A. J.; Wittke, J. H.; Kuehner, S. M.</t>
  </si>
  <si>
    <t>Zincian brezinaite and other rare minerals in two cumulate-textured aubrites from northwest Africa</t>
  </si>
  <si>
    <t>ENSTATITE CHONDRITES</t>
  </si>
  <si>
    <t>[Bunch, T. E.; Wittke, J. H.] No Arizona Univ, Dept Geol, Flagstaff, AZ 86011 USA; [Irving, A. J.; Kuehner, S. M.] Univ Washington, Dept Earth &amp; Space Sci, Seattle, WA USA</t>
  </si>
  <si>
    <t>Northern Arizona University; University of Washington; University of Washington Seattle</t>
  </si>
  <si>
    <t>tbearl@cableone.net</t>
  </si>
  <si>
    <t>WOS:000257683100036</t>
  </si>
  <si>
    <t>Busemann, H; Nguyen, AN; Nittler, LR; Stroud, RM; Zega, TJ; Kilcoyne, ALD; Hoppe, P; Cody, GD</t>
  </si>
  <si>
    <t>Busemann, H.; Nguyen, A. N.; Nittler, L. R.; Stroud, R. M.; Zega, T. J.; Kilcoyne, A. L. D.; Hoppe, P.; Cody, G. D.</t>
  </si>
  <si>
    <t>Primitive interplanetary dust from comet 26p/Grigg-Skjellerup (?): Diversity and similarities among Jupiter-family comets</t>
  </si>
  <si>
    <t>[Busemann, H.] Open Univ, PSSRI, Milton Keynes MK7 6AA, Bucks, England; [Stroud, R. M.; Zega, T. J.] USN, Res Lab, Washington, DC USA; [Busemann, H.; Nguyen, A. N.; Nittler, L. R.; Cody, G. D.] Carnegie Inst Sci, Washington, DC 20005 USA; [Kilcoyne, A. L. D.] Univ Calif Berkeley, Lawrence Berkeley Lab, ALS, Berkeley, CA 94720 USA; [Hoppe, P.] MPI Chem, Mainz, Germany</t>
  </si>
  <si>
    <t>Open University - UK; United States Department of Defense; United States Navy; Naval Research Laboratory; Carnegie Institution for Science; University of California System; University of California Berkeley; United States Department of Energy (DOE); Lawrence Berkeley National Laboratory</t>
  </si>
  <si>
    <t>h.busemann@open.ac.uk</t>
  </si>
  <si>
    <t>Stroud, Rhonda M./C-5503-2008; Kilcoyne, Arthur A L/I-1465-2013; Stroud, Rhonda M/S-4584-2018; Stroud, Rhonda/GQZ-0151-2022; Hoppe, Peter/B-3032-2015; Nguyen, Ann/KGL-5622-2024</t>
  </si>
  <si>
    <t>Stroud, Rhonda M/0000-0001-5242-8015; Stroud, Rhonda/0000-0001-5242-8015; Hoppe, Peter/0000-0003-3681-050X; Kilcoyne, Arthur/0000-0002-8805-8690</t>
  </si>
  <si>
    <t>Science and Technology Facilities Council [PP/E000894/1] Funding Source: researchfish; STFC [PP/E000894/1] Funding Source: UKRI</t>
  </si>
  <si>
    <t>Science and Technology Facilities Council(UK Research &amp; Innovation (UKRI)Science &amp; Technology Facilities Council (STFC)); STFC(UK Research &amp; Innovation (UKRI)Science &amp; Technology Facilities Council (STFC))</t>
  </si>
  <si>
    <t>A30</t>
  </si>
  <si>
    <t>WOS:000257683100037</t>
  </si>
  <si>
    <t>Caffee, MW; Faestermann, T; Hertenberger, R; Herzog, GF; Korschinek, G; Leya, I; Reedy, RC; Sisterson, JM</t>
  </si>
  <si>
    <t>Caffee, M. W.; Faestermann, T.; Hertenberger, R.; Herzog, G. F.; Korschinek, G.; Leya, I.; Reedy, R. C.; Sisterson, J. M.</t>
  </si>
  <si>
    <t>41Ca production in the solar system</t>
  </si>
  <si>
    <t>[Caffee, M. W.] Purdue Univ, Dept Phys, W Lafayette, IN 47907 USA; [Faestermann, T.; Korschinek, G.] Tech Univ Munich, Fak Phys, D-85748 Garching, Germany; [Hertenberger, R.] LMU Munchen, Fak Phys, D-85748 Garching, Germany; [Herzog, G. F.] Rutgers State Univ, Dept Chem &amp; Chem Biol, Piscataway, NJ USA; [Leya, I.] Univ Bern, Inst Phys, CH-3012 Bern, Switzerland; [Reedy, R. C.] Univ New Mexico, Albuquerque, NM 87131 USA; [Sisterson, J. M.] Massachusetts Gen Hosp, Francis H Burr Proton Therapy Ctr, Boston, MA 02114 USA</t>
  </si>
  <si>
    <t>Purdue University System; Purdue University; Technical University of Munich; University of Munich; Rutgers University System; Rutgers University New Brunswick; University of Bern; University of New Mexico; Harvard University; Massachusetts General Hospital</t>
  </si>
  <si>
    <t>herzog@rutchem.rutgers.edu</t>
  </si>
  <si>
    <t>Faestermann, Thomas/ABE-2360-2020</t>
  </si>
  <si>
    <t>Faestermann, Thomas/0000-0002-6603-8787</t>
  </si>
  <si>
    <t>WOS:000257683100038</t>
  </si>
  <si>
    <t>Chabot, NL; Saslow, SA; McDonough, WF; Jones, JH</t>
  </si>
  <si>
    <t>Chabot, N. L.; Saslow, S. A.; McDonough, W. F.; Jones, J. H.</t>
  </si>
  <si>
    <t>A study of Cu and Cr during iron meteorite crystallization</t>
  </si>
  <si>
    <t>FRACTIONATION</t>
  </si>
  <si>
    <t>[Chabot, N. L.] Johns Hopkins Univ, Appl Phys Lab, Laurel, MD USA; [Saslow, S. A.; McDonough, W. F.] Univ Maryland, College Pk, MD 20742 USA; [Jones, J. H.] NASA, Lyndon B Johnson Space Ctr, Houston, TX 77058 USA</t>
  </si>
  <si>
    <t>Johns Hopkins University; Johns Hopkins University Applied Physics Laboratory; University System of Maryland; University of Maryland College Park; National Aeronautics &amp; Space Administration (NASA); NASA Johnson Space Center</t>
  </si>
  <si>
    <t>Nancy.Chabot@JHUAPL.edu</t>
  </si>
  <si>
    <t>Jones, Brian/B-8792-2016; McDonough, William F/C-4791-2009; jones, john/IQW-0502-2023; Chabot, Nancy/F-5384-2015</t>
  </si>
  <si>
    <t>Chabot, Nancy/0000-0001-8628-3176</t>
  </si>
  <si>
    <t>A31</t>
  </si>
  <si>
    <t>WOS:000257683100039</t>
  </si>
  <si>
    <t>Chaussidon, M; Barrat, JA</t>
  </si>
  <si>
    <t>Chaussidon, M.; Barrat, J. A.</t>
  </si>
  <si>
    <t>Extinct 60Fe in the eucrite NWA 4523</t>
  </si>
  <si>
    <t>SOLAR-SYSTEM; INCLUSIONS</t>
  </si>
  <si>
    <t>[Chaussidon, M.] Univ Nancy, CNRS, INSU, CRPG, F-54501 Vandoeuvre Les Nancy, France; [Barrat, J. A.] UNO IUEM, CNRS, UMR 6558, Plouzane, France</t>
  </si>
  <si>
    <t>Universite de Lorraine; Centre National de la Recherche Scientifique (CNRS); CNRS - National Institute for Earth Sciences &amp; Astronomy (INSU); Universite de Bretagne Occidentale; Centre National de la Recherche Scientifique (CNRS)</t>
  </si>
  <si>
    <t>barrat@univ-brest.fr</t>
  </si>
  <si>
    <t>Jean-Alix, BARRAT/F-8035-2012; Barrat, Jean Alix/C-8416-2017</t>
  </si>
  <si>
    <t>Barrat, Jean Alix/0000-0003-3158-3109</t>
  </si>
  <si>
    <t>WOS:000257683100040</t>
  </si>
  <si>
    <t>Choi, BG; Itoh, S; Yurimoto, H; Rubin, AE; Wasson, JT; Grossman, JN</t>
  </si>
  <si>
    <t>Choi, B. -G.; Itoh, S.; Yurimoto, H.; Rubin, A. E.; Wasson, J. T.; Grossman, J. N.</t>
  </si>
  <si>
    <t>Oxygen-isotopic composition of magnetite in the DOM 03238 CO3.1 chondrite</t>
  </si>
  <si>
    <t>[Choi, B. -G.] SNU, Dept Earth Sci Edu, Seoul 151748, South Korea; [Itoh, S.; Yurimoto, H.] Hokkaido Univ, Dept Nat Hist Sci, Sapporo, Hokkaido 0600810, Japan; [Rubin, A. E.; Wasson, J. T.] Univ Calif Los Angeles, IGPP, Los Angeles, CA USA; [Grossman, J. N.] USGS, Reston, VA 20192 USA</t>
  </si>
  <si>
    <t>Seoul National University (SNU); Hokkaido University; University of California System; University of California Los Angeles; United States Department of the Interior; United States Geological Survey</t>
  </si>
  <si>
    <t>bchoi@snu.ac.kr</t>
  </si>
  <si>
    <t>Yurimoto, Hisayoshi/S-9938-2018</t>
  </si>
  <si>
    <t>A32</t>
  </si>
  <si>
    <t>WOS:000257683100042</t>
  </si>
  <si>
    <t>Ciesla, FJ</t>
  </si>
  <si>
    <t>Ciesla, F. J.</t>
  </si>
  <si>
    <t>Two-dimensional transport in the solar nebula: More complex disk structures</t>
  </si>
  <si>
    <t>ACCRETION DISKS</t>
  </si>
  <si>
    <t>[Ciesla, F. J.] Univ Chicago, Dept Geophys Sci, Chicago, IL 60637 USA</t>
  </si>
  <si>
    <t>University of Chicago</t>
  </si>
  <si>
    <t>A33</t>
  </si>
  <si>
    <t>WOS:000257683100043</t>
  </si>
  <si>
    <t>Clemett, SJ; Nakamura-Messenger, K; Mckay, DS</t>
  </si>
  <si>
    <t>Clemett, S. J.; Nakamura-Messenger, K.; Mckay, D. S.</t>
  </si>
  <si>
    <t>Molecular distribution of organic matter and mineral relationships in meteorites and interplanetary dust</t>
  </si>
  <si>
    <t>[Clemett, S. J.] NASA, ERC Inc, JSC, Houston, TX USA; [Nakamura-Messenger, K.] NASA, Jacobs Technol, JSC, Houston, TX USA</t>
  </si>
  <si>
    <t>ERC Inc; National Aeronautics &amp; Space Administration (NASA); NASA Johnson Space Center; National Aeronautics &amp; Space Administration (NASA); NASA Johnson Space Center</t>
  </si>
  <si>
    <t>simonj.clemett@jsc.nasa.gov</t>
  </si>
  <si>
    <t>WOS:000257683100044</t>
  </si>
  <si>
    <t>Consolmagno, GJ; Britt, DT; Macke, RJ</t>
  </si>
  <si>
    <t>Consolmagno, G. J.; Britt, D. T.; Macke, R. J.</t>
  </si>
  <si>
    <t>The density and porosity of carbonaceous chondrites: A new look</t>
  </si>
  <si>
    <t>CV3 CHONDRITES</t>
  </si>
  <si>
    <t>[Consolmagno, G. J.] Specola Vaticana, Vatican City, Vatican; [Britt, D. T.; Macke, R. J.] Univ Cent Florida, Dept Phys, Orlando, FL 32816 USA</t>
  </si>
  <si>
    <t>Vatican Observatory; State University System of Florida; University of Central Florida</t>
  </si>
  <si>
    <t>gjc@specola.va</t>
  </si>
  <si>
    <t>A34</t>
  </si>
  <si>
    <t>WOS:000257683100045</t>
  </si>
  <si>
    <t>Corrigan, CM; Mccoy, TJ; Welzenbach, LC</t>
  </si>
  <si>
    <t>Corrigan, C. M.; McCoy, T. J.; Welzenbach, L. C.</t>
  </si>
  <si>
    <t>5000 and counting: Challenges and opportunities in classifying antarctic meteorites</t>
  </si>
  <si>
    <t>[Corrigan, C. M.; McCoy, T. J.; Welzenbach, L. C.] Smithsonian Inst, Natl Museum Nat Hist, Dept Mineral Sci, Washington, DC 20560 USA</t>
  </si>
  <si>
    <t>WOS:000257683100337</t>
  </si>
  <si>
    <t>Crowther, SA; Gilmour, JD</t>
  </si>
  <si>
    <t>Crowther, S. A.; Gilmour, J. D.</t>
  </si>
  <si>
    <t>Solar xenon in genesis silicon samples</t>
  </si>
  <si>
    <t>NOBLE-GASES; SYSTEM</t>
  </si>
  <si>
    <t>[Crowther, S. A.; Gilmour, J. D.] Univ Manchester, SEAES, Manchester M13 9PL, Lancs, England</t>
  </si>
  <si>
    <t>University of Manchester</t>
  </si>
  <si>
    <t>sarah.crowther@manchester.ac.uk</t>
  </si>
  <si>
    <t>Gilmour, Jamie Duncan/G-7515-2011; Crowther, Sarah A/P-7082-2014</t>
  </si>
  <si>
    <t>Crowther, Sarah A/0000-0002-5396-1775; Gilmour, Jamie/0000-0003-1990-8636</t>
  </si>
  <si>
    <t>Science and Technology Facilities Council [PP/D001099/1] Funding Source: researchfish; STFC [PP/D001099/1] Funding Source: UKRI</t>
  </si>
  <si>
    <t>WOS:000257683100046</t>
  </si>
  <si>
    <t>Dauphas, N; Morris, RV</t>
  </si>
  <si>
    <t>Dauphas, N.; Morris, R. V.</t>
  </si>
  <si>
    <t>Iron isotopes in products of acid-sulfate basalt alteration: A prospective study for mars</t>
  </si>
  <si>
    <t>MERIDIANI-PLANUM; BURNS FORMATION; HEMATITE; CONCRETIONS</t>
  </si>
  <si>
    <t>[Dauphas, N.] Univ Chicago, Dept Geophys Sci, Origins Lab, Chicago, IL 60637 USA; [Dauphas, N.] Univ Chicago, Enrico Fermi Inst, Chicago, IL 60637 USA; [Morris, R. V.] NASA, Lyndon B Johnson Space Ctr, Houston, TX 77058 USA</t>
  </si>
  <si>
    <t>University of Chicago; University of Chicago; National Aeronautics &amp; Space Administration (NASA); NASA Johnson Space Center</t>
  </si>
  <si>
    <t>dauphas@uchicago.edu</t>
  </si>
  <si>
    <t>Dauphas, Nicolas/E-4568-2011</t>
  </si>
  <si>
    <t>A35</t>
  </si>
  <si>
    <t>WOS:000257683100047</t>
  </si>
  <si>
    <t>Davis, AM; Gaflino, R</t>
  </si>
  <si>
    <t>Davis, Andrew M.; Gaflino, Roberto</t>
  </si>
  <si>
    <t>Rare earth element production in asymptotic giant branch stars</t>
  </si>
  <si>
    <t>[Davis, Andrew M.] Univ Chicago, Enrico Fermi Inst, Dept Geophys Sci, Chicago, IL 60637 USA; [Gaflino, Roberto] Univ Turin, Dipartimento Fis Gen, I-10125 Turin, Italy</t>
  </si>
  <si>
    <t>University of Chicago; University of Turin</t>
  </si>
  <si>
    <t>a-davis@uchicago.edu</t>
  </si>
  <si>
    <t>WOS:000257683100048</t>
  </si>
  <si>
    <t>Davison, TM; Collins, GS; Ciesla, FJ</t>
  </si>
  <si>
    <t>Davison, T. M.; Collins, G. S.; Ciesla, F. J.</t>
  </si>
  <si>
    <t>Numerical modelling of shock heating in porous planetesmial collisions</t>
  </si>
  <si>
    <t>CONSTRAINTS; IMPACTS; GROWTH</t>
  </si>
  <si>
    <t>[Davison, T. M.; Collins, G. S.] Univ London Imperial Coll Sci Technol &amp; Med, Dept Earth Sci &amp; Engn, London SW7 2AZ, England; [Ciesla, F. J.] Univ Chicago, Dept Geophys Sci, Chicago, IL 60637 USA</t>
  </si>
  <si>
    <t>Imperial College London; University of Chicago</t>
  </si>
  <si>
    <t>thomas.davison02@imperial.ac.uk</t>
  </si>
  <si>
    <t>Davison, Thomas M/A-9759-2012</t>
  </si>
  <si>
    <t>A36</t>
  </si>
  <si>
    <t>WOS:000257683100049</t>
  </si>
  <si>
    <t>de Leuw, S; Wassoni, JT</t>
  </si>
  <si>
    <t>de Leuw, Simone; Wassoni, John T.</t>
  </si>
  <si>
    <t>Implications of heterogeneous accretion of the solar nebula</t>
  </si>
  <si>
    <t>METEORITES; ISOTOPES; BARIUM</t>
  </si>
  <si>
    <t>[de Leuw, Simone; Wassoni, John T.] Univ Calif Los Angeles, Dept Earth &amp; Space Sci, Los Angeles, CA 90095 USA; [Wassoni, John T.] Univ Calif Los Angeles, Inst Geophys &amp; Planetary Phys, Los Angeles, CA 90095 USA</t>
  </si>
  <si>
    <t>University of California System; University of California Los Angeles; University of California System; University of California Los Angeles</t>
  </si>
  <si>
    <t>sdeleuw@ucla.edu</t>
  </si>
  <si>
    <t>WOS:000257683100050</t>
  </si>
  <si>
    <t>Deguen, R</t>
  </si>
  <si>
    <t>Deguen, Renaud</t>
  </si>
  <si>
    <t>Core crystallization and chemical evolution of iron meteorites parent bodies</t>
  </si>
  <si>
    <t>[Deguen, Renaud] Univ Grenoble 1, CNRS, LGIT, F-38041 Grenoble 9, France</t>
  </si>
  <si>
    <t>Communaute Universite Grenoble Alpes; Universite Grenoble Alpes (UGA); Centre National de la Recherche Scientifique (CNRS)</t>
  </si>
  <si>
    <t>renaud.deguen@obs.ujf-grenoble.fr</t>
  </si>
  <si>
    <t>Deguen, Renaud/H-2225-2014</t>
  </si>
  <si>
    <t>A37</t>
  </si>
  <si>
    <t>WOS:000257683100051</t>
  </si>
  <si>
    <t>del Prado, HN; Pari, W; Ramirez, M; Machare, J; Macedo, L</t>
  </si>
  <si>
    <t>del Prado, H. Nunez; Pari, W.; Ramirez, M.; Machare, J.; Macedo, L.</t>
  </si>
  <si>
    <t>Reconstruction of an impact event in carancas, south of Peru, by GPR studies on a small crater</t>
  </si>
  <si>
    <t>A118</t>
  </si>
  <si>
    <t>WOS:000257683100213</t>
  </si>
  <si>
    <t>Deutsch, A; Langenhorst, F; Heide, K; Luetke, S</t>
  </si>
  <si>
    <t>Deutsch, A.; Langenhorst, F.; Heide, K.; Luetke, S.</t>
  </si>
  <si>
    <t>Bediasites and Ivory Coast tektites: Gas content and compositional homogeneity</t>
  </si>
  <si>
    <t>[Deutsch, A.; Luetke, S.] Univ Munster, Inst Planetol, D-48149 Munster, Germany; [Langenhorst, F.; Heide, K.] Univ Jena, Inst Geowissensch, D-07749 Jena, Germany; [Langenhorst, F.] Bayer Geoinst, D-95440 Bayreuth, Germany</t>
  </si>
  <si>
    <t>University of Munster; Friedrich Schiller University of Jena; University of Bayreuth</t>
  </si>
  <si>
    <t>deutsca@uni-muenster.de</t>
  </si>
  <si>
    <t>WOS:000257683100052</t>
  </si>
  <si>
    <t>Dobrica, E; Engrand, C; Quirico, E; Montagnac, G; Duprat, J</t>
  </si>
  <si>
    <t>Dobrica, E.; Engrand, C.; Quirico, E.; Montagnac, G.; Duprat, J.</t>
  </si>
  <si>
    <t>New clues on composition and structure of carbonaceous matter in Antarctic micrometeorites</t>
  </si>
  <si>
    <t>Univ Paris 11, CNRS, CSNSM, F-91405 Orsay, France; [Quirico, E.] LPG Univ J Fourier, CNRS, INSU, F-38041 Grenoble 09, France; [Montagnac, G.] LST Lyon CNRS, F-69364 Lyon 07, France</t>
  </si>
  <si>
    <t>Universite Paris Saclay; Centre National de la Recherche Scientifique (CNRS); Communaute Universite Grenoble Alpes; Universite Grenoble Alpes (UGA); Centre National de la Recherche Scientifique (CNRS); CNRS - National Institute for Earth Sciences &amp; Astronomy (INSU); Centre National de la Recherche Scientifique (CNRS)</t>
  </si>
  <si>
    <t>Elena.Dobrica@csnsm.in2p3.fr</t>
  </si>
  <si>
    <t>A38</t>
  </si>
  <si>
    <t>WOS:000257683100053</t>
  </si>
  <si>
    <t>Duffy, CM; Bland, PA; Russell, SS; Kearsley, AT; Prior, DJ; Mariani, E</t>
  </si>
  <si>
    <t>Duffy, C. M.; Bland, P. A.; Russell, S. S.; Kearsley, A. T.; Prior, D. J.; Mariani, E.</t>
  </si>
  <si>
    <t>Formation of zoned metal grains in HaH 237</t>
  </si>
  <si>
    <t>CH CHONDRITES</t>
  </si>
  <si>
    <t>[Duffy, C. M.; Bland, P. A.; Russell, S. S.] Univ London Imperial Coll Sci Technol &amp; Med, IARC, London SW7 2AZ, England; [Duffy, C. M.; Bland, P. A.; Russell, S. S.; Kearsley, A. T.] Nat Hist Museum, Dept Mineral, London SW7 5BD, England; [Prior, D. J.; Mariani, E.] Univ Liverpool, Dept Earth &amp; Ocean Sci, Liverpool L69 3GP, Merseyside, England</t>
  </si>
  <si>
    <t>Imperial College London; Natural History Museum London; Natural History Museum London; University of Liverpool</t>
  </si>
  <si>
    <t>c.duffy07@imperial.ac.uk</t>
  </si>
  <si>
    <t>Bland, Philip A/M-9392-2018</t>
  </si>
  <si>
    <t>WOS:000257683100054</t>
  </si>
  <si>
    <t>Duffy, CM; Bland, PA; Russell, SS; Prior, DJ; Mariani, E; Kearsley, AT; Howard, L; Chater, R; Ardakani, MG; McPhail, DS; Shollock, BA</t>
  </si>
  <si>
    <t>Duffy, C. M.; Bland, P. A.; Russell, S. S.; Prior, D. J.; Mariani, E.; Kearsley, A. T.; Howard, L.; Chater, R.; Ardakani, M. G.; McPhail, D. S.; Shollock, B. A.</t>
  </si>
  <si>
    <t>Characterizing primitive chondrite matrix: A SEM/TEM/EBSD study of Acfer 094</t>
  </si>
  <si>
    <t>EARLY SOLAR-SYSTEM; CARBONACEOUS CHONDRITE</t>
  </si>
  <si>
    <t>[Duffy, C. M.; Bland, P. A.; Russell, S. S.] Univ London Imperial Coll Sci Technol &amp; Med, IARC, London SW7 2AZ, England; [Duffy, C. M.; Bland, P. A.; Russell, S. S.; Kearsley, A. T.; Howard, L.] Nat Hist Museum, Dept Mineral, London SW7 5BD, England; [Prior, D. J.; Mariani, E.] Univ Liverpool, Dept Earth &amp; Ocean Sci, Liverpool L69 3GP, Merseyside, England; [Chater, R.; Ardakani, M. G.; McPhail, D. S.; Shollock, B. A.] Univ London Imperial Coll Sci Technol &amp; Med, Dept Mat, London SW7 2AZ, England</t>
  </si>
  <si>
    <t>Imperial College London; Natural History Museum London; Natural History Museum London; University of Liverpool; Imperial College London</t>
  </si>
  <si>
    <t>STFC [PP/D001714/1] Funding Source: UKRI; Science and Technology Facilities Council [PP/D001714/1] Funding Source: researchfish</t>
  </si>
  <si>
    <t>STFC(UK Research &amp; Innovation (UKRI)Science &amp; Technology Facilities Council (STFC)); Science and Technology Facilities Council(UK Research &amp; Innovation (UKRI)Science &amp; Technology Facilities Council (STFC))</t>
  </si>
  <si>
    <t>A39</t>
  </si>
  <si>
    <t>WOS:000257683100055</t>
  </si>
  <si>
    <t>Dyl, KA; Young, ED; Krot, AN</t>
  </si>
  <si>
    <t>Dyl, K. A.; Young, E. D.; Krot, A. N.</t>
  </si>
  <si>
    <t>Exploring oxygen isotope exchange in the solar nebula with UV laser-fluorination</t>
  </si>
  <si>
    <t>[Dyl, K. A.] Univ Calif Los Angeles, Dept Earth &amp; Space Sci, Los Angeles, CA 90095 USA; [Young, E. D.] Univ Calif Los Angeles, Inst Geophys &amp; Planetary Phys, Los Angeles, CA 90095 USA; [Krot, A. N.] Univ Hawaii Manoa, Sch Ocean &amp; Earth Sci &amp; Technol, Hawaii Inst Geophys &amp; Planetol, Honolulu, HI 96822 USA</t>
  </si>
  <si>
    <t>University of California System; University of California Los Angeles; University of California System; University of California Los Angeles; University of Hawaii System; University of Hawaii Manoa</t>
  </si>
  <si>
    <t>kdyl@ucla.edu</t>
  </si>
  <si>
    <t>WOS:000257683100056</t>
  </si>
  <si>
    <t>Ebel, DS; Weisberg, MK</t>
  </si>
  <si>
    <t>Ebel, D. S.; Weisberg, M. K.</t>
  </si>
  <si>
    <t>Why do chondrules with volumetric metal/silicate ratios of 1 to 37% aggregate to solar Fe/Si in the Renazzo CR chondrite?</t>
  </si>
  <si>
    <t>[Ebel, D. S.; Weisberg, M. K.] Amer Museum Nat Hist, Dept Earth &amp; Planetary Sci, New York, NY 10024 USA; [Weisberg, M. K.] CUNY, Dept Phys Sci, Kingsborough Coll, Brooklyn, NY 11235 USA</t>
  </si>
  <si>
    <t>American Museum of Natural History (AMNH); City University of New York (CUNY) System</t>
  </si>
  <si>
    <t>debel@amnh.org</t>
  </si>
  <si>
    <t>A40</t>
  </si>
  <si>
    <t>WOS:000257683100057</t>
  </si>
  <si>
    <t>Echaurren, JC</t>
  </si>
  <si>
    <t>Echaurren, J. C.</t>
  </si>
  <si>
    <t>Mathematical estimations for impact conditions on Argyre Planitia, Mars</t>
  </si>
  <si>
    <t>jecha001@codelco.cl</t>
  </si>
  <si>
    <t>WOS:000257683100058</t>
  </si>
  <si>
    <t>El Goresy, A; Miyahara, M; Ohtani, E; Nagase, T; Nishijima, M; Washaei, Z; Ferroir, T; Gillet, P; Dubrovinsky, L; Simionovici, A</t>
  </si>
  <si>
    <t>El Goresy, A.; Miyahara, M.; Ohtani, E.; Nagase, T.; Nishijima, M.; Washaei, Z.; Ferroir, T.; Gillet, Ph.; Dubrovinsky, L.; Simionovici, A.</t>
  </si>
  <si>
    <t>Evidence for fractional crystallization of wadsleyite and ringwoodite from individual olivine melt pockets in chondrules entrained in shock melt veins</t>
  </si>
  <si>
    <t>DISCONTINUITY; METEORITE; RATES</t>
  </si>
  <si>
    <t>[El Goresy, A.; Dubrovinsky, L.] Univ Bayreuth, Bayer Geoinst, D-95447 Bayreuth, Germany; [Nagase, T.] Tohoku Univ Museum, Sendai, Miyagi 9808758, Japan; [Miyahara, M.; Ohtani, E.; Nishijima, M.] Tohoku Univ, Grad Sch Sci, Sendai, Miyagi 9808758, Japan; [Washaei, Z.] Tohoku Univ, Inst Mat Res, Sendai, Miyagi 9808578, Japan; [Simionovici, A.] Univ Grenoble, LGIT, F-38041 Grenoble, France; [Ferroir, T.; Gillet, Ph.] ENS, F-69634 Lyon, France</t>
  </si>
  <si>
    <t>University of Bayreuth; Tohoku University; Tohoku University; Tohoku University; Communaute Universite Grenoble Alpes; Universite Grenoble Alpes (UGA); Ecole Normale Superieure de Lyon (ENS de LYON)</t>
  </si>
  <si>
    <t>ahmed.eigoresy@uni-bayreuth.de</t>
  </si>
  <si>
    <t>Miyahara, Masaaki/AAP-9679-2020; Simionovici, Alexandre S/E-5867-2018; Miyahara, Masaaki/AAQ-6557-2020; Ohtani, Eiji/AAD-8011-2019; Nishijima, Masahiko/B-2094-2015</t>
  </si>
  <si>
    <t>Miyahara, Masaaki/0000-0002-4404-9813; Miyahara, Masaaki/0000-0002-4404-9813;</t>
  </si>
  <si>
    <t>A41</t>
  </si>
  <si>
    <t>WOS:000257683100059</t>
  </si>
  <si>
    <t>Engrand, C; Narcisi, B; Petit, JR; Dobrica, E; Duprat, J; Vaubaillon, J; Colas, F</t>
  </si>
  <si>
    <t>Engrand, C.; Narcisi, B.; Petit, J. -R.; Dobrica, E.; Duprat, J.; Vaubaillon, J.; Colas, F.</t>
  </si>
  <si>
    <t>More clues about the EPICA-Dome C extraterrestrial events</t>
  </si>
  <si>
    <t>[Engrand, C.; Dobrica, E.; Duprat, J.] Univ Paris 11, CNRS, CSNSM, F-91405 Orsay, France; [Narcisi, B.] ENEA, Ctr Ric Casaccia, I-00123 Rome, Italy; [Petit, J. -R.] Univ Grenoble 1, LGGE CNRS, F-38402 St Martin Dheres, France; [Vaubaillon, J.; Colas, F.] IMCCE, Obs Paris, F-75014 Paris, France; [Vaubaillon, J.] CALTECH, Spitzer Sci Ctr MC 220 6, Pasadena, CA 91125 USA</t>
  </si>
  <si>
    <t>Universite Paris Saclay; Centre National de la Recherche Scientifique (CNRS); Italian National Agency New Technical Energy &amp; Sustainable Economics Development; Centre National de la Recherche Scientifique (CNRS); Communaute Universite Grenoble Alpes; Universite Grenoble Alpes (UGA); Sorbonne Universite; Universite PSL; Observatoire de Paris; California Institute of Technology</t>
  </si>
  <si>
    <t>WOS:000257683100060</t>
  </si>
  <si>
    <t>Fagan, TJ; Kitou, H; Tasai, Y</t>
  </si>
  <si>
    <t>Fagan, T. J.; Kitou, H.; Tasai, Y.</t>
  </si>
  <si>
    <t>Cathodoluminescence of anorthite in two type BCAIs from Allende: Contrasting alteration patterns</t>
  </si>
  <si>
    <t>[Fagan, T. J.; Kitou, H.; Tasai, Y.] Waseda Univ, Dept Earth Sci, Tokyo, Japan</t>
  </si>
  <si>
    <t>Waseda University</t>
  </si>
  <si>
    <t>fagan@waseda.jp</t>
  </si>
  <si>
    <t>A42</t>
  </si>
  <si>
    <t>WOS:000257683100061</t>
  </si>
  <si>
    <t>Fegley, B; Schaefer, L</t>
  </si>
  <si>
    <t>Fegley, Bruce, Jr.; Schaefer, Laura</t>
  </si>
  <si>
    <t>Chemistry during accretion of the Earth. I. volatiles in the steam atmosphere</t>
  </si>
  <si>
    <t>[Fegley, Bruce, Jr.; Schaefer, Laura] Washington Univ, Dept Earth &amp; Planetary Sci, Planetary Chem Lab, St Louis, MO 63130 USA</t>
  </si>
  <si>
    <t>Washington University (WUSTL)</t>
  </si>
  <si>
    <t>bfegley@wustl.edu; laura_s@wustl.edu</t>
  </si>
  <si>
    <t>Schaefer, Laura/0000-0003-2915-5025</t>
  </si>
  <si>
    <t>WOS:000257683100062</t>
  </si>
  <si>
    <t>Feng, L; Lin, Y</t>
  </si>
  <si>
    <t>Feng, L.; Lin, Y.</t>
  </si>
  <si>
    <t>Extracting compositions from Raman spectra of ringwoodite in the heavily shocked grove mountains meteorites</t>
  </si>
  <si>
    <t>SPECTROSCOPY</t>
  </si>
  <si>
    <t>[Feng, L.; Lin, Y.] Chinese Acad Sci, Inst Geol &amp; Geophys, Key Lab Earths Deep Interior, Beijing 100029, Peoples R China</t>
  </si>
  <si>
    <t>Chinese Academy of Sciences; Institute of Geology &amp; Geophysics, CAS</t>
  </si>
  <si>
    <t>LinYT@mail.igcas.ac.cn</t>
  </si>
  <si>
    <t>lin, yt/IQT-6771-2023; Lin, Yangting/A-8845-2015</t>
  </si>
  <si>
    <t>A43</t>
  </si>
  <si>
    <t>WOS:000257683100063</t>
  </si>
  <si>
    <t>Fletcher, LA; Bastien, R; Allen, CC</t>
  </si>
  <si>
    <t>Fletcher, L. A.; Bastien, R.; Allen, C. C.</t>
  </si>
  <si>
    <t>A testbed for advanced cold curation of astromaterials</t>
  </si>
  <si>
    <t>[Fletcher, L. A.; Allen, C. C.] NASA, Lyndon B Johnson Space Ctr, Mail Code KT, ARES, Houston, TX 77058 USA; [Bastien, R.] Jacobs Technol, Houston, TX 77058 USA</t>
  </si>
  <si>
    <t>National Aeronautics &amp; Space Administration (NASA); NASA Johnson Space Center</t>
  </si>
  <si>
    <t>lisa.a.fietcher@nasa.gov</t>
  </si>
  <si>
    <t>WOS:000257683100064</t>
  </si>
  <si>
    <t>Floss, C; Stadermann, FJ</t>
  </si>
  <si>
    <t>Floss, Christine; Stadermann, Frank J.</t>
  </si>
  <si>
    <t>C-anomalous phases in QUE 99177 and MET 00426</t>
  </si>
  <si>
    <t>GRAPHITE</t>
  </si>
  <si>
    <t>floss@wustl.edu; fjs@wustl.edu</t>
  </si>
  <si>
    <t>A44</t>
  </si>
  <si>
    <t>WOS:000257683100065</t>
  </si>
  <si>
    <t>Fodor, E</t>
  </si>
  <si>
    <t>Fodor, E.</t>
  </si>
  <si>
    <t>Technological methods in research for icy meteorites on cold regions</t>
  </si>
  <si>
    <t>[Fodor, E.] Eotvos Lorand Univ, Dept Mat Phys, Cosm Mat Space Res Grp, H-1117 Budapest, Hungary</t>
  </si>
  <si>
    <t>Eotvos Lorand University</t>
  </si>
  <si>
    <t>A181</t>
  </si>
  <si>
    <t>Science Citation Index Expanded (SCI-EXPANDED)</t>
  </si>
  <si>
    <t>WOS:000257683100338</t>
  </si>
  <si>
    <t>Folco, L; Rochette, P</t>
  </si>
  <si>
    <t>Folco, L.; Rochette, P.</t>
  </si>
  <si>
    <t>Extending searches for transantarctic mountain microtektites</t>
  </si>
  <si>
    <t>[Folco, L.] Univ Siena, Museo Nazl Antartide, I-53100 Siena, Italy; [Rochette, P.] Univ Aix Marseille 3, CEREGE, F-13628 Aix En Provence, France</t>
  </si>
  <si>
    <t>University of Siena; Aix-Marseille Universite</t>
  </si>
  <si>
    <t>folco@unisi.it</t>
  </si>
  <si>
    <t>Folco, Luigi/AAA-6351-2020; Folco, Luigi/AAB-8586-2021</t>
  </si>
  <si>
    <t>WOS:000257683100339</t>
  </si>
  <si>
    <t>Folco, L; D'Orazio, M; Ottolini, L; Tonarini, S; Rochette, P</t>
  </si>
  <si>
    <t>Folco, L.; D'Orazio, M.; Ottolini, L.; Tonarini, S.; Rochette, P.</t>
  </si>
  <si>
    <t>Transantarctic Mountain microtektites: New petrographic data, water content, and Nd and Sr isotopic composition</t>
  </si>
  <si>
    <t>TEKTITES; GEOCHEMISTRY; AGE</t>
  </si>
  <si>
    <t>[D'Orazio, M.] Univ Pisa, DST, I-56100 Pisa, Italy; [Ottolini, L.] CNR IGG, Pavia, Italy; [Tonarini, S.] CNR IGG, Pisa, Italy</t>
  </si>
  <si>
    <t>University of Pisa; Consiglio Nazionale delle Ricerche (CNR); Istituto di Geoscienze e Georisorse (IGG-CNR); Consiglio Nazionale delle Ricerche (CNR); Istituto di Geoscienze e Georisorse (IGG-CNR)</t>
  </si>
  <si>
    <t>WOS:000257683100066</t>
  </si>
  <si>
    <t>Friedrich, JM; Wignarajah, DP; Chaudhary, S; Rivers, ML; Nehru, CE; Ebel, DS</t>
  </si>
  <si>
    <t>Friedrich, J. M.; Wignarajah, D. P.; Chaudhary, S.; Rivers, M. L.; Nehru, C. E.; Ebel, D. S.</t>
  </si>
  <si>
    <t>Impact-related preferred 3-D orientation of metal grains in L chondrites</t>
  </si>
  <si>
    <t>[Friedrich, J. M.; Wignarajah, D. P.; Chaudhary, S.] Fordham Univ, Dept Chem, Bronx, NY 10458 USA; [Friedrich, J. M.; Nehru, C. E.; Ebel, D. S.] Amer Museum Nat Hist, Dept Earth &amp; Planetary Sci, New York, NY 10024 USA; [Rivers, M. L.] Univ Chicago, Consortium Adv Radiat Sources, Argonne, IL 60439 USA; [Nehru, C. E.] CUNY Brooklyn Coll, Dept Geol, Brooklyn, NY 11210 USA</t>
  </si>
  <si>
    <t>Fordham University; American Museum of Natural History (AMNH); University of Chicago; City University of New York (CUNY) System; Brooklyn College (CUNY)</t>
  </si>
  <si>
    <t>A45</t>
  </si>
  <si>
    <t>WOS:000257683100068</t>
  </si>
  <si>
    <t>Friedrich, JM; Herd, CDK</t>
  </si>
  <si>
    <t>Friedrich, J. M.; Herd, C. D. K.</t>
  </si>
  <si>
    <t>An achondritic clast in the Peace River L chondrite</t>
  </si>
  <si>
    <t>[Friedrich, J. M.] Fordham Univ, Dept Chem, Bronx, NY 10458 USA; [Friedrich, J. M.] Amer Museum Nat Hist, Dept Earth &amp; Planetary Sci, New York, NY 10024 USA; [Friedrich, J. M.] Univ Alberta, Dept Earth &amp; Atmospher Sci, Edmonton, AB, Canada</t>
  </si>
  <si>
    <t>Fordham University; American Museum of Natural History (AMNH); University of Alberta</t>
  </si>
  <si>
    <t>friedrich@fordham.edu</t>
  </si>
  <si>
    <t>Herd, Christopher/IYJ-9105-2023</t>
  </si>
  <si>
    <t>WOS:000257683100067</t>
  </si>
  <si>
    <t>Fukui, T; Kuramoto, K</t>
  </si>
  <si>
    <t>Fukui, T.; Kuramoto, K.</t>
  </si>
  <si>
    <t>Simultaneous enhancement of water vapor and silicate dust in the inner solar nebula: Implication for the small oxygen isotopic variation of chondrules</t>
  </si>
  <si>
    <t>PHYSICS; ORIGIN</t>
  </si>
  <si>
    <t>[Fukui, T.; Kuramoto, K.] Hokkaido Univ, Dept Cosmosci, Sapporo, Hokkaido 0600810, Japan</t>
  </si>
  <si>
    <t>Hokkaido University</t>
  </si>
  <si>
    <t>ftakashi@ep.sci.hokudai.ac.jp</t>
  </si>
  <si>
    <t>A46</t>
  </si>
  <si>
    <t>WOS:000257683100069</t>
  </si>
  <si>
    <t>Gardner-Vandy, KG; Lauretta, DS; Goreva, JS; Killgore, M; McCoy, TJ</t>
  </si>
  <si>
    <t>Gardner-Vandy, K. G.; Lauretta, D. S.; Goreva, J. S.; Killgore, M.; McCoy, T. J.</t>
  </si>
  <si>
    <t>Relationships among ungrouped primitive achondrites and type 7 ordinary chondrites</t>
  </si>
  <si>
    <t>[Gardner-Vandy, K. G.; Lauretta, D. S.; Goreva, J. S.] Univ Arizona, Tucson, AZ USA; [McCoy, T. J.] Smithsonian Inst, Washington, DC 20560 USA</t>
  </si>
  <si>
    <t>University of Arizona; Smithsonian Institution</t>
  </si>
  <si>
    <t>kgardner@lpl.arizona.edu</t>
  </si>
  <si>
    <t>WOS:000257683100070</t>
  </si>
  <si>
    <t>Gellissen, M; Palme, H; Zipfel, J</t>
  </si>
  <si>
    <t>Gellissen, M.; Palme, H.; Zipfel, J.</t>
  </si>
  <si>
    <t>Small-scale compositional variability of the bulk Allende meteorite</t>
  </si>
  <si>
    <t>[Gellissen, M.; Palme, H.] Univ Cologne, Inst Geol &amp; Mineral, D-5000 Cologne 41, Germany; [Zipfel, J.] Forschungsinst &amp; Naturmuseum Senckenberg, Frankfurt, Germany</t>
  </si>
  <si>
    <t>University of Cologne; Senckenberg Gesellschaft fur Naturforschung (SGN)</t>
  </si>
  <si>
    <t>herbert.palme@uni-koeln.de</t>
  </si>
  <si>
    <t>A47</t>
  </si>
  <si>
    <t>WOS:000257683100071</t>
  </si>
  <si>
    <t>Genge, MJ; Taylor, S</t>
  </si>
  <si>
    <t>Genge, M. J.; Taylor, S.</t>
  </si>
  <si>
    <t>Barred olivine chondrule fragments among micrometeorites</t>
  </si>
  <si>
    <t>[Genge, M. J.] Univ London Imperial Coll Sci Technol &amp; Med, Dept Earth Sci &amp; Engn, London SW7 2AZ, England; [Taylor, S.] USA, Cold Reg Res &amp; Engn Lab, Hanover, NH 03755 USA</t>
  </si>
  <si>
    <t>Imperial College London; United States Department of Defense; United States Army; U.S. Army Corps of Engineers; U.S. Army Engineer Research &amp; Development Center (ERDC); Cold Regions Research &amp; Engineering Laboratory (CRREL)</t>
  </si>
  <si>
    <t>m.genge@imperial.ac.uk</t>
  </si>
  <si>
    <t>WOS:000257683100072</t>
  </si>
  <si>
    <t>Goldstein, JI</t>
  </si>
  <si>
    <t>Goldstein, J. I.</t>
  </si>
  <si>
    <t>Cooling rates of meteoritic metal-progress and the future</t>
  </si>
  <si>
    <t>IRON-METEORITES</t>
  </si>
  <si>
    <t>[Goldstein, J. I.] Univ Massachusetts, Dept Mech &amp; Ind Engn, Amherst, MA 01003 USA</t>
  </si>
  <si>
    <t>University of Massachusetts System; University of Massachusetts Amherst</t>
  </si>
  <si>
    <t>jig0@ecs.umass.edu</t>
  </si>
  <si>
    <t>A48</t>
  </si>
  <si>
    <t>WOS:000257683100073</t>
  </si>
  <si>
    <t>Goldstein, JI; Yang, J; Kotula, PG; Michael, JR; Scott, ERD</t>
  </si>
  <si>
    <t>Goldstein, J. I.; Yang, J.; Kotula, P. G.; Michael, J. R.; Scott, E. R. D.</t>
  </si>
  <si>
    <t>Thermal history of IVA iron meteorites from electron microscopy of cloudy zone microstructures</t>
  </si>
  <si>
    <t>[Goldstein, J. I.; Yang, J.] Univ Massachusetts, Dept Mech &amp; Ind Engn, Amherst, MA 01003 USA; [Kotula, P. G.; Michael, J. R.] Sandia Natl Labs, Mat Characterizat Dept, Albuquerque, NM 87185 USA; [Scott, E. R. D.] Univ Hawaii, HIGP, Honolulu, HI 96822 USA</t>
  </si>
  <si>
    <t>University of Massachusetts System; University of Massachusetts Amherst; United States Department of Energy (DOE); Sandia National Laboratories; University of Hawaii System</t>
  </si>
  <si>
    <t>WOS:000257683100074</t>
  </si>
  <si>
    <t>Greenberg, M; Ebel, DS</t>
  </si>
  <si>
    <t>Greenberg, M.; Ebel, D. S.</t>
  </si>
  <si>
    <t>Nondestructive 3-D confocal laser imaging and analysis of stardust track #82 and deconvolution techniques</t>
  </si>
  <si>
    <t>AEROGEL</t>
  </si>
  <si>
    <t>[Greenberg, M.] Brandeis Univ, Waltham, MA 02454 USA; [Ebel, D. S.] Amer Museum Nat Hist, Dept Earth &amp; Planetary Sci, New York, NY 10024 USA</t>
  </si>
  <si>
    <t>Brandeis University; American Museum of Natural History (AMNH)</t>
  </si>
  <si>
    <t>mdgreen@brandeis.edu; debel@amnh.org</t>
  </si>
  <si>
    <t>A49</t>
  </si>
  <si>
    <t>WOS:000257683100075</t>
  </si>
  <si>
    <t>Greenwood, RC; Gibson, JM; Franchi, IA</t>
  </si>
  <si>
    <t>Greenwood, R. C.; Gibson, J. M.; Franchi, I. A.</t>
  </si>
  <si>
    <t>Hot and cold weathering: Determining the oxygen isotope composition of achondrites</t>
  </si>
  <si>
    <t>[Greenwood, R. C.; Gibson, J. M.; Franchi, I. A.] Open Univ, Planetary &amp; Space Sci Res Inst, Milton Keynes MK7 6AA, Bucks, England</t>
  </si>
  <si>
    <t>Open University - UK</t>
  </si>
  <si>
    <t>r.c.greenwood@open.ac.uk</t>
  </si>
  <si>
    <t>STFC [ST/F003102/1] Funding Source: UKRI; Science and Technology Facilities Council [ST/F003102/1] Funding Source: researchfish</t>
  </si>
  <si>
    <t>A182</t>
  </si>
  <si>
    <t>WOS:000257683100340</t>
  </si>
  <si>
    <t>Greenwood, RC; Franchi, IA; Gibson, JM; Benedix, GK</t>
  </si>
  <si>
    <t>Greenwood, R. C.; Franchi, I. A.; Gibson, J. M.; Benedix, G. K.</t>
  </si>
  <si>
    <t>Oxygen isotope variation within the primitive achondrites</t>
  </si>
  <si>
    <t>[Greenwood, R. C.; Franchi, I. A.; Gibson, J. M.] Open Univ, Planetary &amp; Space Sci Res Inst, Milton Keynes MK7 6AA, Bucks, England; [Benedix, G. K.] Nat Hist Museum, Dept Mineral, Impacts &amp; Astromat Res Ctr, London SW7 5BD, England</t>
  </si>
  <si>
    <t>Open University - UK; Imperial College London; Natural History Museum London</t>
  </si>
  <si>
    <t>Benedix, Gretchen K/L-1953-2018</t>
  </si>
  <si>
    <t>Science and Technology Facilities Council [ST/F003102/1] Funding Source: researchfish</t>
  </si>
  <si>
    <t>Science and Technology Facilities Council(UK Research &amp; Innovation (UKRI)Science &amp; Technology Facilities Council (STFC))</t>
  </si>
  <si>
    <t>WOS:000257683100076</t>
  </si>
  <si>
    <t>Grew, ES; Yates, MG; Beane, RJ; Floss, C; Gerbi, C</t>
  </si>
  <si>
    <t>Grew, E. S.; Yates, M. G.; Beane, R. J.; Floss, C.; Gerbi, C.</t>
  </si>
  <si>
    <t>Chopinite-sarcopside solid solution, (Mg, Fe)3 (PO4)2, in lodranite GRA 95209</t>
  </si>
  <si>
    <t>SEGREGATION</t>
  </si>
  <si>
    <t>[Grew, E. S.; Yates, M. G.; Gerbi, C.] Univ Maine, Orono, ME 04469 USA; [Beane, R. J.] Bowdoin Coll, Brunswick, ME 04011 USA; [Floss, C.] Washington Univ, St Louis, MO 63130 USA</t>
  </si>
  <si>
    <t>University of Maine System; University of Maine Orono; Bowdoin College; Washington University (WUSTL)</t>
  </si>
  <si>
    <t>esgrew@maine.edu</t>
  </si>
  <si>
    <t>Beane, Rachel/0000-0002-0507-4944</t>
  </si>
  <si>
    <t>A50</t>
  </si>
  <si>
    <t>WOS:000257683100077</t>
  </si>
  <si>
    <t>Grokhovsky, VI; Uymina, KA; Glazkova, SA; Karkina, LE; Gundirev, VM</t>
  </si>
  <si>
    <t>Grokhovsky, V. I.; Uymina, K. A.; Glazkova, S. A.; Karkina, L. E.; Gundirev, V. M.</t>
  </si>
  <si>
    <t>Origin of schliren bands in chinga ataxite</t>
  </si>
  <si>
    <t>PLESSITE</t>
  </si>
  <si>
    <t>[Grokhovsky, V. I.; Uymina, K. A.; Glazkova, S. A.; Karkina, L. E.] Ural State Tech Univ UPI, Ekaterinburg 620002, Russia; [Karkina, L. E.; Gundirev, V. M.] Russian Acad Sci, Ural Div, Inst Met Phys, Ekaterinburg, Russia</t>
  </si>
  <si>
    <t>Ural Federal University; Russian Academy of Sciences; Institute of Metal Physics UB RAS</t>
  </si>
  <si>
    <t>grokh@siams.com</t>
  </si>
  <si>
    <t>Grokhovsky, Victor I/B-4388-2014; Karkina, Lidia/J-5994-2013</t>
  </si>
  <si>
    <t>WOS:000257683100078</t>
  </si>
  <si>
    <t>Grossman, JN; Kimura, M</t>
  </si>
  <si>
    <t>Grossman, J. N.; Kimura, M.</t>
  </si>
  <si>
    <t>Classification of the least-metamorphosed ordinary chondrites</t>
  </si>
  <si>
    <t>[Grossman, J. N.] US Geol Survey, Natl Ctr 954, Reston, VA 20192 USA; [Kimura, M.] Ibaraki Univ, Fac Sci, Mito, Ibaraki 3108512, Japan</t>
  </si>
  <si>
    <t>United States Department of the Interior; United States Geological Survey; Ibaraki University</t>
  </si>
  <si>
    <t>jgrossman@usgs.gov</t>
  </si>
  <si>
    <t>WOS:000257683100341</t>
  </si>
  <si>
    <t>Grossman, JN</t>
  </si>
  <si>
    <t>Grossman, J. N.</t>
  </si>
  <si>
    <t>Measuring the metamorphic history of unequilibrated chondrites using single olivine grains</t>
  </si>
  <si>
    <t>[Grossman, J. N.] US Geol Survey, Reston, VA 20192 USA</t>
  </si>
  <si>
    <t>United States Department of the Interior; United States Geological Survey</t>
  </si>
  <si>
    <t>A51</t>
  </si>
  <si>
    <t>WOS:000257683100079</t>
  </si>
  <si>
    <t>Haack, H; Wurm, G</t>
  </si>
  <si>
    <t>Haack, H.; Wurm, G.</t>
  </si>
  <si>
    <t>Outward transport of cais during FU orionis events</t>
  </si>
  <si>
    <t>[Haack, H.] Nat Hist Museum Denmark, DK-1350 Copenhagen K, Denmark; [Wurm, G.] Univ Munster, Inst Planetol, D-48149 Munster, Germany</t>
  </si>
  <si>
    <t>University of Munster</t>
  </si>
  <si>
    <t>hh@snm.ku.dk</t>
  </si>
  <si>
    <t>WOS:000257683100080</t>
  </si>
  <si>
    <t>Hallis, LJ; Anand, M; Russell, SS; Terada, K; Rogers, N; Hammond, S</t>
  </si>
  <si>
    <t>Hallis, L. J.; Anand, M.; Russell, S. S.; Terada, K.; Rogers, N.; Hammond, S.</t>
  </si>
  <si>
    <t>Mineralogical and geochemical investigations of mare basalts from the apollo collection</t>
  </si>
  <si>
    <t>PETROGENESIS</t>
  </si>
  <si>
    <t>[Hallis, L. J.; Anand, M.; Russell, S. S.] Nat Hist Museum, Dept Mineral, London SW7 5BD, England; [Hallis, L. J.; Anand, M.; Rogers, N.; Hammond, S.] Open Univ, Dept Earth &amp; Environm Sci, Milton Keynes MK7 6AA, Bucks, England; [Terada, K.] Hiroshima Univ, Dept Earth &amp; Planetary Syst Sci, Higashihiroshima 7398526, Japan</t>
  </si>
  <si>
    <t>Natural History Museum London; Open University - UK; Hiroshima University</t>
  </si>
  <si>
    <t>l.hallis@nhm.ac.uk</t>
  </si>
  <si>
    <t>Rogers, Nick W/A-5870-2009; Terada, Kentaro/AAN-5930-2021; Anand, Mahesh/E-9259-2013</t>
  </si>
  <si>
    <t>A52</t>
  </si>
  <si>
    <t>WOS:000257683100081</t>
  </si>
  <si>
    <t>Han, JM; Choi, H; Choi, BG</t>
  </si>
  <si>
    <t>Han, J. M.; Choi, H.; Choi, B. -G.</t>
  </si>
  <si>
    <t>Metamorphic temperatures of equilibrated oridinary chondrites recovered by the Korea expedition for antarctic meteorites</t>
  </si>
  <si>
    <t>[Han, J. M.; Choi, H.; Choi, B. -G.] Seoul Natl Univ, Dept Earth Sci Educ, Seoul 151748, South Korea</t>
  </si>
  <si>
    <t>Seoul National University (SNU)</t>
  </si>
  <si>
    <t>hjmkcg74@snu.ac.kr</t>
  </si>
  <si>
    <t>A183</t>
  </si>
  <si>
    <t>WOS:000257683100342</t>
  </si>
  <si>
    <t>Hargitai, HI; Kereszturi, A; Berczi, S; Gucsik, A; Nagy, S</t>
  </si>
  <si>
    <t>Hargitai, H. I.; Kereszturi, A.; Berczi, Sz.; Gucsik, A.; Nagy, Sz.</t>
  </si>
  <si>
    <t>Climate-based analysis of martian surface morphology</t>
  </si>
  <si>
    <t>[Hargitai, H. I.; Berczi, Sz.; Nagy, Sz.] EOTVOS Lorand Univ, H-1117 Budapest, Hungary; [Kereszturi, A.] Collegium, Budapest, Hungary; [Gucsik, A.] Max Planck Inst Chem, Munich, Germany</t>
  </si>
  <si>
    <t>Eotvos Lorand University; Max Planck Society</t>
  </si>
  <si>
    <t>hargitai@emc.elte.hu</t>
  </si>
  <si>
    <t>Hargitai, Henrik I/H-5929-2018; Gucsik, Arnold/G-3570-2016; Kereszturi, Akos/AAN-3092-2020</t>
  </si>
  <si>
    <t>WOS:000257683100082</t>
  </si>
  <si>
    <t>Hashiguchi, M; Tomeoka, K; Ohnishi, I</t>
  </si>
  <si>
    <t>Hashiguchi, M.; Tomeoka, K.; Ohnishi, I.</t>
  </si>
  <si>
    <t>Mineralogy of vesicular olivine in three CK4-6 chondrites: Relationship to silicate darkening</t>
  </si>
  <si>
    <t>CARBONACEOUS CHONDRITE; SHOCK METAMORPHISM; CK</t>
  </si>
  <si>
    <t>[Hashiguchi, M.; Tomeoka, K.; Ohnishi, I.] Kobe Univ, Fac Sci, Dept Earth &amp; Planetary Sci, Nada Ku, Kobe, Hyogo 6578501, Japan</t>
  </si>
  <si>
    <t>Kobe University</t>
  </si>
  <si>
    <t>A53</t>
  </si>
  <si>
    <t>WOS:000257683100083</t>
  </si>
  <si>
    <t>Heber, VS; Baur, H; Wieler, R; Wiens, RC; Burnett, DS</t>
  </si>
  <si>
    <t>Heber, V. S.; Baur, H.; Wieler, R.; Wiens, R. C.; Burnett, D. S.</t>
  </si>
  <si>
    <t>Argon, krypton, and xenon abundances in the solar wind measured in silicon from the genesis mission</t>
  </si>
  <si>
    <t>[Heber, V. S.; Baur, H.; Wieler, R.] ETH, IGMR, NW C, CH-8092 Zurich, Switzerland; [Wiens, R. C.] LANL, Los Alamos, NM 87544 USA; [Burnett, D. S.] CALTECH, JPL, Pasadena, CA 91109 USA</t>
  </si>
  <si>
    <t>Swiss Federal Institutes of Technology Domain; ETH Zurich; United States Department of Energy (DOE); Los Alamos National Laboratory; National Aeronautics &amp; Space Administration (NASA); NASA Jet Propulsion Laboratory (JPL); California Institute of Technology</t>
  </si>
  <si>
    <t>Wieler, Rainer/A-1355-2010; Pellin, Michael J/B-5897-2008</t>
  </si>
  <si>
    <t>Wieler, Rainer/0000-0001-5666-7494</t>
  </si>
  <si>
    <t>WOS:000257683100084</t>
  </si>
  <si>
    <t>Hegyi, S; Kovács, B; Hudoba, G; Istenes, Z; Bérczi, S</t>
  </si>
  <si>
    <t>Hegyi, S.; Kovacs, B.; Hudoba, Gy.; Istenes, Z.; Berczi, Sz.</t>
  </si>
  <si>
    <t>Search for ice meteorite in antarctica by husar rover</t>
  </si>
  <si>
    <t>[Hegyi, S.; Berczi, Sz.] PTE TTK, Dept Informat &amp; Technol, H-7624 Pecs, Hungary; [Kovacs, B.] PTE TTK, Dept Chem, H-7624 Pecs, Hungary; [Hudoba, Gy.] Budapest Polytech, Coll Engn, H-6000 Szekesfehervar, Hungary; ELTE IK, Dept Softvaretechnol, H-1117 Budapest, Hungary; Eotvos Lorand Univ, Inst Phys, H-1117 Budapest, Hungary</t>
  </si>
  <si>
    <t>University of Pecs; University of Pecs; Eotvos Lorand University</t>
  </si>
  <si>
    <t>bercziszani@ludens.elte.hu</t>
  </si>
  <si>
    <t>WOS:000257683100343</t>
  </si>
  <si>
    <t>Herd, CDK; Walton, EL; Froese, DG; Herd, EPK; Kofman, RS</t>
  </si>
  <si>
    <t>Herd, C. D. K.; Walton, E. L.; Froese, D. G.; Herd, E. P. K.; Kofman, R. S.</t>
  </si>
  <si>
    <t>The discovery of a late holocene impact crater near Whitecourt, Alberta</t>
  </si>
  <si>
    <t>EARTH</t>
  </si>
  <si>
    <t>[Herd, C. D. K.; Walton, E. L.; Froese, D. G.; Kofman, R. S.] Univ Alberta, Dept Earth &amp; Atmospher Sci, Edmonton, AB T6G 2M7, Canada; [Herd, E. P. K.] Univ Alberta, Nat Resources Eng Facil, Dept Civil &amp; Environm Engn, Edmonton, AB T6G 2E3, Canada</t>
  </si>
  <si>
    <t>University of Alberta; University of Alberta</t>
  </si>
  <si>
    <t>herd@ualberta.ca</t>
  </si>
  <si>
    <t>A54</t>
  </si>
  <si>
    <t>WOS:000257683100085</t>
  </si>
  <si>
    <t>Hermalyn, B; Schultz, PH; Anderson, JLB; Heineck, JT</t>
  </si>
  <si>
    <t>Hermalyn, B.; Schultz, P. H.; Anderson, J. L. B.; Heineck, J. T.</t>
  </si>
  <si>
    <t>Evolution of impact ejection angles: Implications for early stage coupling</t>
  </si>
  <si>
    <t>OBLIQUE IMPACTS; FLOW</t>
  </si>
  <si>
    <t>[Hermalyn, B.; Schultz, P. H.] Brown Univ, Providence, RI 02912 USA; [Anderson, J. L. B.] Winona State Univ, Winona, MN 55987 USA; [Heineck, J. T.] NASA, Ames Res Ctr, Moffett Field, CA 94035 USA</t>
  </si>
  <si>
    <t>Brown University; Minnesota State Colleges &amp; Universities; Winona State University; National Aeronautics &amp; Space Administration (NASA); NASA Ames Research Center</t>
  </si>
  <si>
    <t>Brendan_Hermalyn@brown.edu</t>
  </si>
  <si>
    <t>WOS:000257683100086</t>
  </si>
  <si>
    <t>Herrin, JS; Mittlefehidt, DM; Jones, JH</t>
  </si>
  <si>
    <t>Herrin, J. S.; Mittlefehidt, D. M.; Jones, J. H.</t>
  </si>
  <si>
    <t>Petrogenesis of Fe,Si-metals in brecciated ureilites</t>
  </si>
  <si>
    <t>[Herrin, J. S.; Mittlefehidt, D. M.; Jones, J. H.] NASA, Lyndon B Johnson Space Ctr, Houson, TX USA</t>
  </si>
  <si>
    <t>jason.s.herrin@nasa.gov</t>
  </si>
  <si>
    <t>jones, john/IQW-0502-2023; Jones, Brian/B-8792-2016</t>
  </si>
  <si>
    <t>A55</t>
  </si>
  <si>
    <t>WOS:000257683100087</t>
  </si>
  <si>
    <t>Hezel, DC; Ross, AJ; Russell, SS; Kearsley, AT</t>
  </si>
  <si>
    <t>Hezel, D. C.; Ross, A. J.; Russell, S. S.; Kearsley, A. T.</t>
  </si>
  <si>
    <t>Modal abundances of CAIs: Implications for bulk chondrite element abundances and fractionations</t>
  </si>
  <si>
    <t>ALUMINUM-RICH INCLUSIONS; CARBONACEOUS CHONDRITES; COMPOSITIONAL CLASSIFICATION</t>
  </si>
  <si>
    <t>[Hezel, D. C.; Ross, A. J.; Russell, S. S.; Kearsley, A. T.] Nat Hist Museum, Dept Mineral, London SW7 5BD, England</t>
  </si>
  <si>
    <t>Natural History Museum London</t>
  </si>
  <si>
    <t>d.hezel@nhm.ac.uk</t>
  </si>
  <si>
    <t>A56</t>
  </si>
  <si>
    <t>WOS:000257683100089</t>
  </si>
  <si>
    <t>Hezel, DC; Armytage, R; Georg, RB; Needham, AW; Russell, SS; Halliday, AN</t>
  </si>
  <si>
    <t>Hezel, D. C.; Armytage, R.; Georg, R. B.; Needham, A. W.; Russell, S. S.; Halliday, A. N.</t>
  </si>
  <si>
    <t>Combined Fe- and Si-isotope measurements in CV chondrite chondrules</t>
  </si>
  <si>
    <t>IRON; SILICON</t>
  </si>
  <si>
    <t>[Hezel, D. C.; Needham, A. W.; Russell, S. S.] Nat Hist Museum, Dept Mineral, IARC, London SW7 5BD, England; [Armytage, R.; Georg, R. B.; Halliday, A. N.] Univ Oxford, Dept Earth Sci, Oxford OX1 3PR, England</t>
  </si>
  <si>
    <t>Imperial College London; Natural History Museum London; University of Oxford</t>
  </si>
  <si>
    <t>Hezel, Dominik/O-5287-2015</t>
  </si>
  <si>
    <t>Hezel, Dominik/0000-0002-5059-2281</t>
  </si>
  <si>
    <t>Science and Technology Facilities Council [PP/D001714/1, PP/D001250/1] Funding Source: researchfish</t>
  </si>
  <si>
    <t>WOS:000257683100088</t>
  </si>
  <si>
    <t>Hidaka, H; Yoneda, S</t>
  </si>
  <si>
    <t>Hidaka, H.; Yoneda, S.</t>
  </si>
  <si>
    <t>Barium isotopic composition of chondrules in the sayama meteorite</t>
  </si>
  <si>
    <t>[Hidaka, H.] Hiroshima Univ, Dept Earth &amp; Planetary Syst Sci, Higashihiroshima 7398526, Japan; [Yoneda, S.] Natl Museum Nat &amp; Sci, Dept Sci &amp; Engn, Tokyo 1690073, Japan</t>
  </si>
  <si>
    <t>Hiroshima University; National Museum of Nature and Science</t>
  </si>
  <si>
    <t>hidaka@hiroshima-u.ac.jp</t>
  </si>
  <si>
    <t>Hidaka, Hiroshi/AAJ-5603-2021</t>
  </si>
  <si>
    <t>Hidaka, Hiroshi/0000-0001-7239-4086</t>
  </si>
  <si>
    <t>WOS:000257683100090</t>
  </si>
  <si>
    <t>Hirata, N; Haruyama, J; Ohtake, M; Matsunaga, T; Yokota, Y; Morota, T; Honda, C; Ogawa, Y; Torii, M; Demura, H; Asada, N</t>
  </si>
  <si>
    <t>Hirata, N.; Haruyama, J.; Ohtake, M.; Matsunaga, T.; Yokota, Y.; Morota, T.; Honda, C.; Ogawa, Y.; Torii, M.; Demura, H.; Asada, N.</t>
  </si>
  <si>
    <t>Morphological analyses of large lunar craters with with/kaguya images</t>
  </si>
  <si>
    <t>[Hirata, N.; Demura, H.; Asada, N.] Univ Aizu, Fukushima 9658580, Japan; [Ogawa, Y.] Natl Inst Environm Studies, Tsukuba, Ibaraki, Japan</t>
  </si>
  <si>
    <t>University of Aizu; National Institute for Environmental Studies - Japan</t>
  </si>
  <si>
    <t>naru@u-aizu.ac.jp</t>
  </si>
  <si>
    <t>A57</t>
  </si>
  <si>
    <t>WOS:000257683100092</t>
  </si>
  <si>
    <t>Hirata, N; Abe, S; Ishiguro, M; Kitazato, K; Nakamura, R; Miyamoto, H; Demura, H; Abe, M; Sasaki, S</t>
  </si>
  <si>
    <t>Hirata, N.; Abe, S.; Ishiguro, M.; Kitazato, K.; Nakamura, R.; Miyamoto, H.; Demura, H.; Abe, M.; Sasaki, S.</t>
  </si>
  <si>
    <t>Geologic processes on the surface of a small asteroid Itokawa</t>
  </si>
  <si>
    <t>25143-ITOKAWA; HAYABUSA</t>
  </si>
  <si>
    <t>[Hirata, N.; Demura, H.] Univ Aizu, Fukushima, Japan; [Abe, S.] Natl Cent Univ, Inst Astron, Chungli, Taiwan; [Ishiguro, M.] Seoul Natl Univ, Dept Phys &amp; Astron, Seoul 151, South Korea; [Kitazato, K.] Kobe Univ, Grad Sch Sci, Kobe, Hyogo, Japan; [Nakamura, R.] Natl Inst Adv Ind Sci &amp; Technol, Tokyo, Japan; [Miyamoto, H.] Univ Tokyo, Univ Museum, Tokyo 1138654, Japan; [Abe, M.] Natl Astron Observ Japan, RISE Project Off, Mizusawa, Iwate, Japan</t>
  </si>
  <si>
    <t>University of Aizu; National Central University; Seoul National University (SNU); Kobe University; National Institute of Advanced Industrial Science &amp; Technology (AIST); University of Tokyo; National Institutes of Natural Sciences (NINS) - Japan; National Astronomical Observatory of Japan (NAOJ)</t>
  </si>
  <si>
    <t>naru@u-aizu.ae.jp</t>
  </si>
  <si>
    <t>Miyamoto, Hideaki/B-9666-2008; Miyamoto, Hideaki/E-3381-2012</t>
  </si>
  <si>
    <t>Miyamoto, Hideaki/0000-0001-8013-6124;</t>
  </si>
  <si>
    <t>WOS:000257683100091</t>
  </si>
  <si>
    <t>Hiroi, T; Abe, M; Nimura, T; Kitazato, K; Abe, S; Takagi, Y; Sasaki, S; Ishiguro, M</t>
  </si>
  <si>
    <t>Hiroi, T.; Abe, M.; Nimura, T.; Kitazato, K.; Abe, S.; Takagi, Y.; Sasaki, S.; Ishiguro, M.</t>
  </si>
  <si>
    <t>Danger in interpreting the 2-micron band of reflectance spectra of small asteroids: A lesson from Hayabusa/NIRS data of Itokawa</t>
  </si>
  <si>
    <t>25143-ITOKAWA</t>
  </si>
  <si>
    <t>[Hiroi, T.] Brown Univ, Dept Geol Sci, Providence, RI 02912 USA; [Abe, M.; Nimura, T.] JAXA Inst Space &amp; Aeronaut Sci, Sagamihara, Kanagawa 2298510, Japan; [Nimura, T.] Univ Tokyo, Dept Earth &amp; Planet Sci, Tokyo 113, Japan; [Kitazato, K.] Kobe Univ, Grad Sch Sci, Nada Ku, Kobe, Hyogo 6578501, Japan; [Abe, S.] Natl Cent Univ, Inst Astron, Tao Yuan 32001, Taiwan; [Takagi, Y.] Aichi Toho Univ, Meito Ku, Nagoya, Aichi 4658515, Japan; [Sasaki, S.] Natl Astron Obs Japan, RISE Project, Oshu City, Iwate 4658515, Japan; [Ishiguro, M.] Seoul Natl Univ, Dept Phys &amp; Astron, Seoul 151742, South Korea</t>
  </si>
  <si>
    <t>Brown University; Japan Aerospace Exploration Agency (JAXA); Institute of Space &amp; Astronautical Science (ISAS); University of Tokyo; Kobe University; National Central University; National Institutes of Natural Sciences (NINS) - Japan; National Astronomical Observatory of Japan (NAOJ); Seoul National University (SNU)</t>
  </si>
  <si>
    <t>takahiro_hiroi@brown.edu</t>
  </si>
  <si>
    <t>A58</t>
  </si>
  <si>
    <t>WOS:000257683100093</t>
  </si>
  <si>
    <t>Hiyagon, H; Hashimoto, A</t>
  </si>
  <si>
    <t>Hiyagon, H.; Hashimoto, A.</t>
  </si>
  <si>
    <t>Isotopic and rare earth element studies of a funlike forsterite-bearing inclusion from allende</t>
  </si>
  <si>
    <t>EVAPORATION</t>
  </si>
  <si>
    <t>[Hiyagon, H.] Univ Tokyo, Dept Earth &amp; Planetary Sci, Tokyo 1138654, Japan; [Hashimoto, A.] Hokkaido Univ, Dept Cosmosci, Sapporo, Hokkaido 060, Japan</t>
  </si>
  <si>
    <t>University of Tokyo; Hokkaido University</t>
  </si>
  <si>
    <t>hiygon@eps.s.u-tokyo.ac.jp</t>
  </si>
  <si>
    <t>HIYAGON, HAJIME/G-4879-2014</t>
  </si>
  <si>
    <t>WOS:000257683100094</t>
  </si>
  <si>
    <t>Hoffmann, V; Funaki, M; Torii, M; Hochleitner, R; Classen, N</t>
  </si>
  <si>
    <t>Hoffmann, V.; Funaki, M.; Torii, M.; Hochleitner, R.; Classen, N.</t>
  </si>
  <si>
    <t>Systematic survey on the magnetic signature of martian meteorites (SNC): Extending the database</t>
  </si>
  <si>
    <t>[Hoffmann, V.] Univ Tubingen, Inst Geosci, D-72074 Tubingen, Germany; [Hoffmann, V.] Univ Munich, Fac Geosci, D-80539 Munich, Germany; [Funaki, M.] Natl Inst Polar Res, Tokyo, Japan; [Torii, M.] Okayama Univ Sci, Dept Geosphere Biosphere Syst Sci, Okayama, Japan; [Hochleitner, R.] Museum Reich Kristalle, Munich, Germany</t>
  </si>
  <si>
    <t>Eberhard Karls University of Tubingen; University of Munich; Research Organization of Information &amp; Systems (ROIS); National Institute of Polar Research (NIPR) - Japan; Okayama University of Science</t>
  </si>
  <si>
    <t>viktor.hoffmann@uni-tuebingen.de</t>
  </si>
  <si>
    <t>A59</t>
  </si>
  <si>
    <t>WOS:000257683100095</t>
  </si>
  <si>
    <t>Honda, M; Nagai, H; Nagao, K; Bajo, K; Oura, Y</t>
  </si>
  <si>
    <t>Honda, M.; Nagai, H.; Nagao, K.; Bajo, K.; Oura, Y.</t>
  </si>
  <si>
    <t>Cosmogenic histories in gibeon and campo del cielo iron meteorites</t>
  </si>
  <si>
    <t>[Honda, M.; Nagai, H.] Nihon Univ, Dept Chem, Tokyo, Japan; [Nagao, K.; Bajo, K.] Univ Tokyo, Earthquake Chem Lab, Tokyo 1138654, Japan; [Oura, Y.] Tokyo Metropolitan Univ, Dept Chem, Tokyo 158, Japan</t>
  </si>
  <si>
    <t>Nihon University; University of Tokyo; Tokyo Metropolitan University</t>
  </si>
  <si>
    <t>m-honda@p07.itscom.net</t>
  </si>
  <si>
    <t>WOS:000257683100096</t>
  </si>
  <si>
    <t>Hoppe, P; Leitner, J; Amari, S</t>
  </si>
  <si>
    <t>Hoppe, P.; Leitner, J.; Amari, S.</t>
  </si>
  <si>
    <t>A presolar sic grain from a supernova with unusual Si-isotopic composition</t>
  </si>
  <si>
    <t>METEORITES</t>
  </si>
  <si>
    <t>[Hoppe, P.; Leitner, J.] Max Planck Inst Chem, Particle Chem Dept, D-55128 Mainz, Germany; [Amari, S.] Washington Univ, Space Sci Lab, St Louis, MO 63130 USA; [Amari, S.] Washington Univ, Dept Phys, St Louis, MO 63130 USA</t>
  </si>
  <si>
    <t>Max Planck Society; Washington University (WUSTL); Washington University (WUSTL)</t>
  </si>
  <si>
    <t>hoppe@mpch-mainz.mpg.de</t>
  </si>
  <si>
    <t>Hoppe, Peter/B-3032-2015; Leitner, Jan/A-7391-2015</t>
  </si>
  <si>
    <t>Hoppe, Peter/0000-0003-3681-050X; Leitner, Jan/0000-0003-3655-6273</t>
  </si>
  <si>
    <t>A60</t>
  </si>
  <si>
    <t>WOS:000257683100097</t>
  </si>
  <si>
    <t>Howard, KT; Benedix, GK; Bland, PA; Cressey, G</t>
  </si>
  <si>
    <t>Howard, K. T.; Benedix, G. K.; Bland, P. A.; Cressey, G.</t>
  </si>
  <si>
    <t>Modal mineralogy of Mighei, Nogoya, and cold bokkeveld CM chondrites by XRD</t>
  </si>
  <si>
    <t>CARBONACEOUS CHONDRITES</t>
  </si>
  <si>
    <t>[Howard, K. T.; Benedix, G. K.; Bland, P. A.] Nat Hist Museum, IARC, Dept Mineral, London SW7 5BD, England; [Bland, P. A.] Univ London Imperial Coll Sci Technol &amp; Med, Det Earth Sci &amp; Eng, London SW7 2AZ, England; [Cressey, G.] Nat Hist Museum, Dept Mineral, London SW7 5BD, England</t>
  </si>
  <si>
    <t>Imperial College London; Natural History Museum London; Imperial College London; Natural History Museum London</t>
  </si>
  <si>
    <t>kieren.howard@nhm.ac.uk</t>
  </si>
  <si>
    <t>Benedix, Gretchen K/L-1953-2018; Bland, Philip A/M-9392-2018</t>
  </si>
  <si>
    <t>STFC [PP/E003257/1] Funding Source: UKRI; Science and Technology Facilities Council [PP/E003257/1] Funding Source: researchfish</t>
  </si>
  <si>
    <t>WOS:000257683100098</t>
  </si>
  <si>
    <t>Hudgins, JA; Spray, JG; Kelley, SP; Korotev, RL; Sherlock, S</t>
  </si>
  <si>
    <t>Hudgins, J. A.; Spray, J. G.; Kelley, S. P.; Korotev, R. L.; Sherlock, S.</t>
  </si>
  <si>
    <t>A laser probe 40Ar/39Ar and inaa investigation of four apollo granulitic breccias</t>
  </si>
  <si>
    <t>[Hudgins, J. A.; Spray, J. G.] Univ New Brunswick, Planetary &amp; Space Sci Ctr, Fredericton, NB E3B 5A3, Canada; [Kelley, S. P.; Sherlock, S.] Open Univ, CEPSAR, Milton Keynes, Bucks, England; [Korotev, R. L.] Washington Univ, Dept Earth &amp; Planetary Sci, St Louis, MO 63130 USA</t>
  </si>
  <si>
    <t>University of New Brunswick; Open University - UK; Washington University (WUSTL)</t>
  </si>
  <si>
    <t>Spray, John G./J-7504-2013</t>
  </si>
  <si>
    <t>A61</t>
  </si>
  <si>
    <t>WOS:000257683100099</t>
  </si>
  <si>
    <t>Hudoba, G; Hegyi, S; Drommer, B; Jozsa, S; Hargitai, H; Berczi, S</t>
  </si>
  <si>
    <t>Hudoba, Gy.; Hegyi, S.; Drommer, B.; Jozsa, S.; Hargitai, H.; Berczi, Sz.</t>
  </si>
  <si>
    <t>Planetary analog field trips at Hungarian sites with university space probe models hunveyor and husar</t>
  </si>
  <si>
    <t>[Hudoba, Gy.] Budapest Polytech, H-6000 Szekesfehervar, Budai Ut, Hungary; [Hegyi, S.; Drommer, B.] Univ Pecs, Dept Informat &amp; G Technol, H-7624 Pecs, Hungary; [Jozsa, S.; Hargitai, H.; Berczi, Sz.] Eotvos Lorand Univ, Inst Phys, H-1117 Budapest, Hungary</t>
  </si>
  <si>
    <t>University of Pecs; Eotvos Lorand University</t>
  </si>
  <si>
    <t>Hargitai, Henrik I/H-5929-2018; Jozsa, Sandor/L-1387-2018</t>
  </si>
  <si>
    <t>Jozsa, Sandor/0000-0001-8219-0044</t>
  </si>
  <si>
    <t>WOS:000257683100100</t>
  </si>
  <si>
    <t>Imae, N; Iwata, N</t>
  </si>
  <si>
    <t>Imae, N.; Iwata, N.</t>
  </si>
  <si>
    <t>Comparative study of anhydrous minerals in micrometeorites and carbonaceous chondrites</t>
  </si>
  <si>
    <t>ANTARCTIC MICROMETEORITES</t>
  </si>
  <si>
    <t>[Imae, N.] Natl Inst Polar Res, Itabashi Ku, Tokyo 1738515, Japan; [Iwata, N.] Yamagata Univ, Yamagata 990, Japan</t>
  </si>
  <si>
    <t>Research Organization of Information &amp; Systems (ROIS); National Institute of Polar Research (NIPR) - Japan; Yamagata University</t>
  </si>
  <si>
    <t>imae@nipr.ac.jp</t>
  </si>
  <si>
    <t>Iwata, Naoyoshi/B-7554-2008</t>
  </si>
  <si>
    <t>Iwata, Naoyoshi/0000-0002-0017-9130</t>
  </si>
  <si>
    <t>A62</t>
  </si>
  <si>
    <t>WOS:000257683100101</t>
  </si>
  <si>
    <t>Inoue, M; Nakamura, N</t>
  </si>
  <si>
    <t>Inoue, M.; Nakamura, N.</t>
  </si>
  <si>
    <t>Peculiar REE pattern in a granular-olivine inclusion from the murchison (CM2) chondrite</t>
  </si>
  <si>
    <t>[Inoue, M.] Kanazawa Univ, Ishikari, Hokkaido 9231224, Japan; [Nakamura, N.] Kobe Univ, Kobe, Hyogo 6570059, Japan</t>
  </si>
  <si>
    <t>Kanazawa University; Kobe University</t>
  </si>
  <si>
    <t>mutsuo@llrl.ku-unet.ocn.ne.jp</t>
  </si>
  <si>
    <t>WOS:000257683100102</t>
  </si>
  <si>
    <t>Irisawa, K; Hirata, T; Tanimizu, M</t>
  </si>
  <si>
    <t>Irisawa, K.; Hirata, T.; Tanimizu, M.</t>
  </si>
  <si>
    <t>Isotopic fractionation of tungsten for meteoritical materials</t>
  </si>
  <si>
    <t>CORE FORMATION; CHRONOMETRY; TIMESCALE; ACCRETION</t>
  </si>
  <si>
    <t>[Irisawa, K.] Japan Atom Energy Agcy, Tokai, Ibaraki 3191195, Japan; [Irisawa, K.; Hirata, T.] Tokyo Inst Technol, Tokyo, Japan; [Tanimizu, M.] JAMSTEC, Kochi Inst Core Sample Res, Kochi, Japan</t>
  </si>
  <si>
    <t>Japan Atomic Energy Agency; Tokyo Institute of Technology; Japan Agency for Marine-Earth Science &amp; Technology (JAMSTEC)</t>
  </si>
  <si>
    <t>irisawa.keita@jaea.go.jp</t>
  </si>
  <si>
    <t>A63</t>
  </si>
  <si>
    <t>WOS:000257683100103</t>
  </si>
  <si>
    <t>Irving, AJ; Kuchner, SM</t>
  </si>
  <si>
    <t>Irving, A. J.; Kuchner, S. M.</t>
  </si>
  <si>
    <t>Northwest Africa 5298: A strongly shocked basaltic shergottite equilibrated at QFM and high temperature</t>
  </si>
  <si>
    <t>[Irving, A. J.; Kuchner, S. M.] Univ Washington, Dept Earth &amp; Space Sci, Seattle, WA 98195 USA</t>
  </si>
  <si>
    <t>University of Washington; University of Washington Seattle</t>
  </si>
  <si>
    <t>irving@ess.washington.edu</t>
  </si>
  <si>
    <t>WOS:000257683100104</t>
  </si>
  <si>
    <t>Isa, J; Shinotsuka, K; Yamaguchi, A; Ebihara, M</t>
  </si>
  <si>
    <t>Isa, J.; Shinotsuka, K.; Yamaguchi, A.; Ebihara, M.</t>
  </si>
  <si>
    <t>Chemical characteristics of northwest Africa 011 and northwest Africa 2976</t>
  </si>
  <si>
    <t>[Isa, J.; Shinotsuka, K.; Ebihara, M.] Tokyo Metropolitan Univ, Dept Chem, Tokyo 1920397, Japan; [Yamaguchi, A.] Natl Inst Polar Res, Antarctic Meteorites Res Ctr, Tokyo 1738515, Japan</t>
  </si>
  <si>
    <t>Tokyo Metropolitan University; Research Organization of Information &amp; Systems (ROIS); National Institute of Polar Research (NIPR) - Japan</t>
  </si>
  <si>
    <t>Isa-junko@ed.tmu.ac.jp</t>
  </si>
  <si>
    <t>A64</t>
  </si>
  <si>
    <t>WOS:000257683100105</t>
  </si>
  <si>
    <t>Ishihara, Y; Matsumoto, K; Goossens, S; Araki, H; Namiki, N; Hanada, H; Iwata, T; Noda, H; Sasaki, S</t>
  </si>
  <si>
    <t>Ishihara, Y.; Matsumoto, K.; Goossens, S.; Araki, H.; Namiki, N.; Hanada, H.; Iwata, T.; Noda, H.; Sasaki, S.</t>
  </si>
  <si>
    <t>Localized gravity/topography correlation spectra on the Moon</t>
  </si>
  <si>
    <t>[Ishihara, Y.; Matsumoto, K.; Goossens, S.; Hanada, H.; Sasaki, S.] Natl Astron Observ Japan, RISE Project, Mizusawa, Oshu 0230861, Japan</t>
  </si>
  <si>
    <t>National Institutes of Natural Sciences (NINS) - Japan; National Astronomical Observatory of Japan (NAOJ)</t>
  </si>
  <si>
    <t>ishihara@miz.nao.ac.jp</t>
  </si>
  <si>
    <t>Matsumoto, Koji/AAF-7825-2021; Ishihara, Yoshiaki/A-8499-2011; Goossens, Sander/K-2526-2015</t>
  </si>
  <si>
    <t>Matsumoto, Koji/0000-0003-4319-1970; Goossens, Sander/0000-0002-7707-1128</t>
  </si>
  <si>
    <t>WOS:000257683100106</t>
  </si>
  <si>
    <t>Ishii, HA; Bradley, JP; Dai, ZR; Chi, M; Kearsley, AT; Burchell, MJ; Browning, ND; Molster, FJ</t>
  </si>
  <si>
    <t>Ishii, H. A.; Bradley, J. P.; Dai, Z. R.; Chi, M.; Kearsley, A. T.; Burchell, M. J.; Browning, N. D.; Molster, F. J.</t>
  </si>
  <si>
    <t>Results from the search for typical CPIDP silicates in comet 81P/wild 2 dust samples</t>
  </si>
  <si>
    <t>[Ishii, H. A.; Bradley, J. P.; Dai, Z. R.; Chi, M.; Browning, N. D.] Lawrence Livermore Natl Lab, Inst Geophys &amp; Planetary Phys, Livermore, CA 94550 USA; [Chi, M.; Browning, N. D.] Univ Calif Davis, Dept Chem Engn &amp; Mat Sci, Davis, CA 95616 USA; [Kearsley, A. T.] Nat Hist Museum, Dept Mineral, London SW7 5BD, England; [Burchell, M. J.] Univ Kent, Sch Phys Sci, Canterbury, Kent, England; [Molster, F. J.] NWO, The Hague, Netherlands</t>
  </si>
  <si>
    <t>United States Department of Energy (DOE); Lawrence Livermore National Laboratory; University of California System; University of California Davis; Natural History Museum London; University of Kent</t>
  </si>
  <si>
    <t>hope.ishii@llnl.gov</t>
  </si>
  <si>
    <t>Chi, Miaofang/Y-3603-2019; Dai, Zurong/E-6732-2010; Chi, Miaofang/Q-2489-2015; Ishii, Hope/JOZ-4512-2023</t>
  </si>
  <si>
    <t>Chi, Miaofang/0000-0003-0764-1567;</t>
  </si>
  <si>
    <t>STFC [ST/F003153/1] Funding Source: UKRI; Science and Technology Facilities Council [ST/F003153/1] Funding Source: researchfish</t>
  </si>
  <si>
    <t>A65</t>
  </si>
  <si>
    <t>WOS:000257683100107</t>
  </si>
  <si>
    <t>Ito, M; Messenger, S</t>
  </si>
  <si>
    <t>Ito, M.; Messenger, S.</t>
  </si>
  <si>
    <t>O isotope mapping of a wark-lovering rim in a type A CAI: Constraints on its formation process</t>
  </si>
  <si>
    <t>SOLAR-SYSTEM</t>
  </si>
  <si>
    <t>[Ito, M.; Messenger, S.] NASA, Lyndon B Johnson Space Ctr, ARES, Houston, TX 77058 USA</t>
  </si>
  <si>
    <t>motoo.ito-l@nasa.gov; scott.r.messenger@nasa.gov</t>
  </si>
  <si>
    <t>WOS:000257683100108</t>
  </si>
  <si>
    <t>Ivanova, MA; Lorenz, CA; Moroz, LV; Greenwood, RC; Franchi, IA; Schmidt, M</t>
  </si>
  <si>
    <t>Ivanova, M. A.; Lorenz, C. A.; Moroz, L. V.; Greenwood, R. C.; Franchi, I. A.; Schmidt, M.</t>
  </si>
  <si>
    <t>Nwa 4757: Metamorphosed carbonaceous CM chondrite</t>
  </si>
  <si>
    <t>[Ivanova, M. A.; Lorenz, C. A.] VI Vernadskii Inst Geochem &amp; Analyt Chem, Moscow 117975, Russia; [Moroz, L. V.] Univ Munster, Inst Planetol, D-4400 Munster, Germany; [Moroz, L. V.] DLR Inst Planetary Res, Berlin, Germany; [Greenwood, R. C.; Franchi, I. A.] Open Univ, Milton Keynes MK7 6AA, Bucks, England; [Schmidt, M.] Univ Heidelberg, Heidelberg, Germany</t>
  </si>
  <si>
    <t>Russian Academy of Sciences; Vernadsky Institute of Geochemistry &amp; Analytical Chemistry; University of Munster; Helmholtz Association; German Aerospace Centre (DLR); Open University - UK; Ruprecht Karls University Heidelberg</t>
  </si>
  <si>
    <t>venus2@online.ru</t>
  </si>
  <si>
    <t>Lorenz, Cyril/U-1783-2017</t>
  </si>
  <si>
    <t>A66</t>
  </si>
  <si>
    <t>WOS:000257683100109</t>
  </si>
  <si>
    <t>Jogo, K; Nakamura, T; Messenger, SR; Ito, M; Miyamoto, T</t>
  </si>
  <si>
    <t>Jogo, K.; Nakamura, T.; Messenger, S. R.; Ito, M.; Miyamoto, T.</t>
  </si>
  <si>
    <t>Mn-Cr systematics of secondary fayalite in the Y-86009CV3 carbonaceous chondrite</t>
  </si>
  <si>
    <t>CV3 CHONDRITE</t>
  </si>
  <si>
    <t>[Jogo, K.; Nakamura, T.; Miyamoto, T.] Kyushu Univ, Dept Earth &amp; Planetary Sci, Fukuoka 812, Japan; [Messenger, S. R.; Ito, M.] NASA, Lyndon B Johnson Space Ctr, ARES, Houston, TX 77058 USA</t>
  </si>
  <si>
    <t>Kyushu University; National Aeronautics &amp; Space Administration (NASA); NASA Johnson Space Center</t>
  </si>
  <si>
    <t>kaori@geo.kyushu-u.ac.jp</t>
  </si>
  <si>
    <t>WOS:000257683100110</t>
  </si>
  <si>
    <t>Johnson, D; Rahman, I; Grady, MM</t>
  </si>
  <si>
    <t>Johnson, D.; Rahman, I.; Grady, M. M.</t>
  </si>
  <si>
    <t>X-ray microtomography of a sulfide-rich pallasite</t>
  </si>
  <si>
    <t>[Johnson, D.; Grady, M. M.] Open Univ, PSSRI, Milton Keynes MK7 6AA, Bucks, England; [Rahman, I.] Univ London Imperial Coll Sci Technol &amp; Med, Dept Earth Sci &amp; Engn, London SW7 2AZ, England; [Grady, M. M.] Nat Hist Museum, Dept Mineral, London SW7 5BD, England</t>
  </si>
  <si>
    <t>D.Johnson@open.ac.uk</t>
  </si>
  <si>
    <t>A67</t>
  </si>
  <si>
    <t>WOS:000257683100111</t>
  </si>
  <si>
    <t>Jones, JH</t>
  </si>
  <si>
    <t>Jones, J. H.</t>
  </si>
  <si>
    <t>Parameterization of pyroxene/liquid REE partition coefficients</t>
  </si>
  <si>
    <t>[Jones, J. H.] NASA, Lyndon B Johnson Space Ctr, KR, Houston, TX 77058 USA</t>
  </si>
  <si>
    <t>john.hjones@nasa.gov</t>
  </si>
  <si>
    <t>Jones, Brian/B-8792-2016; jones, john/IQW-0502-2023</t>
  </si>
  <si>
    <t>WOS:000257683100112</t>
  </si>
  <si>
    <t>Jones, RH</t>
  </si>
  <si>
    <t>Jones, R. H.</t>
  </si>
  <si>
    <t>Bulk compositions of chondrules and the nature of chondrule precursor materials</t>
  </si>
  <si>
    <t>[Jones, R. H.] Univ New Mexico, Dept Earth &amp; Planetary Sci, Albuquerque, NM 87131 USA</t>
  </si>
  <si>
    <t>University of New Mexico</t>
  </si>
  <si>
    <t>rjones@unm.edu</t>
  </si>
  <si>
    <t>Jones, Rhian/ABI-6612-2020</t>
  </si>
  <si>
    <t>A68</t>
  </si>
  <si>
    <t>WOS:000257683100113</t>
  </si>
  <si>
    <t>Jones, SF; Hildebrand, AR</t>
  </si>
  <si>
    <t>Jones, S. F.; Hildebrand, A. R.</t>
  </si>
  <si>
    <t>Acoustic velocity trends, porosity, and pore geometry in ordinary chondrites: Implications for meteorite and meteorite parent body elastic properties</t>
  </si>
  <si>
    <t>[Jones, S. F.; Hildebrand, A. R.] Univ Calgary, Calgary, AB T2N 1N4, Canada</t>
  </si>
  <si>
    <t>University of Calgary</t>
  </si>
  <si>
    <t>sfjones@ucalgary.ca</t>
  </si>
  <si>
    <t>WOS:000257683100114</t>
  </si>
  <si>
    <t>Jull, AJT; Leclerc, MD; Biddulph, DL; McHargue, LR; Burr, GS; Al-Kathiri, A; Gnos, E; Hofmann, B</t>
  </si>
  <si>
    <t>Jull, A. J. T.; Leclerc, M. D.; Biddulph, D. L.; McHargue, L. R.; Burr, G. S.; Al-Kathiri, A.; Gnos, E.; Hofmann, B.</t>
  </si>
  <si>
    <t>Radionuclide studies of meteorites from ramlat al wahibah and other omani desert locations</t>
  </si>
  <si>
    <t>[Jull, A. J. T.; Leclerc, M. D.; Biddulph, D. L.; McHargue, L. R.; Burr, G. S.] Univ Arizona, NSF Arizona AMS Lab, Tucson, AZ 85721 USA; [Al-Kathiri, A.] Minist Commerce &amp; Ind, Directorate Gen Commerce &amp; Ind, Salalah, Oman; [Gnos, E.] Nat Hist Museum Geneva, Geneva, Switzerland; [Hofmann, B.] Nat Hist Museum Burgergemeinde Bern, CH-3005 Bern, Switzerland</t>
  </si>
  <si>
    <t>University of Arizona; National Science Foundation (NSF)</t>
  </si>
  <si>
    <t>jull@email.arizona.edu</t>
  </si>
  <si>
    <t>Gnos, Edwin/AAI-7477-2020</t>
  </si>
  <si>
    <t>Gnos, Edwin/0000-0003-0940-8435</t>
  </si>
  <si>
    <t>A69</t>
  </si>
  <si>
    <t>WOS:000257683100115</t>
  </si>
  <si>
    <t>Kakazu, Y; Nakamura, T; Okazaki, R; Ohnishi, I</t>
  </si>
  <si>
    <t>Kakazu, Y.; Nakamura, T.; Okazaki, R.; Ohnishi, I.</t>
  </si>
  <si>
    <t>Oxygen isotope ratios and rare earth element abundance of the silica-rich chondrule rims in the Sahara 00182 cabonaceous chondrite</t>
  </si>
  <si>
    <t>CARBONACEOUS CHONDRITES; CONDENSATION; CR</t>
  </si>
  <si>
    <t>[Kakazu, Y.; Nakamura, T.; Okazaki, R.] Kyushu Univ, Dept Earth &amp; Planetary Sci, Fukuoka 812, Japan; Kobe Univ, Dept Earth &amp; Planetary Sci, Kobe, Hyogo 657, Japan</t>
  </si>
  <si>
    <t>Kyushu University; Kobe University</t>
  </si>
  <si>
    <t>kakazu@geo.kyushu-u.ac.jp</t>
  </si>
  <si>
    <t>WOS:000257683100116</t>
  </si>
  <si>
    <t>Karner, JM; Papike, JJ; Mckay, G; Sutton, SR; Shearer, CK; Burger, P; Le, L</t>
  </si>
  <si>
    <t>Karner, J. M.; Papike, J. J.; Mckay, G.; Sutton, S. R.; Shearer, C. K.; Burger, P.; Le, L.</t>
  </si>
  <si>
    <t>The partitioning of Cr and V between pyroxenemelt in martian basalt que 94201</t>
  </si>
  <si>
    <t>MELT</t>
  </si>
  <si>
    <t>[Karner, J. M.; Papike, J. J.; Shearer, C. K.; Burger, P.] Univ New Mexico, Inst Meteorit, Albuquerque, NM 87131 USA; [Mckay, G.] NASA, Lyndon B Johnson Space Ctr, Mail Code ST, Houston, TX 77058 USA; [Sutton, S. R.] Univ Chicago, Dept Geophys Sci, Chicago, IL 60637 USA; [Le, L.] ESC Grp, Houston, TX 77058 USA</t>
  </si>
  <si>
    <t>University of New Mexico; National Aeronautics &amp; Space Administration (NASA); NASA Johnson Space Center; University of Chicago</t>
  </si>
  <si>
    <t>jkamer@unm.edu</t>
  </si>
  <si>
    <t>McKay, Gareth/HNJ-3797-2023</t>
  </si>
  <si>
    <t>A70</t>
  </si>
  <si>
    <t>WOS:000257683100117</t>
  </si>
  <si>
    <t>Karouji, Y; Hasebe, N; Shibamura, E; Kobayashi, MN; Okudaira, O; Yamashita, N; Kobayashi, S; Hareyama, M; Miyachi, T; Kodaira, S; Komatsu, S; Hayatsu, K; Iwabuchi, K; Nemoto, S; Takeda, Y; Tsukada, K; Nagaoka, H; Ebihara, M; Hihara, T; Arai, T; Sugihara, T; Takeda, H; d'Uston, C; Gasnault, O; Diez, B; Fomi, O; Maurice, S; Reedy, RC; Kim, KJ</t>
  </si>
  <si>
    <t>Karouji, Y.; Hasebe, N.; Shibamura, E.; Kobayashi, M. -N.; Okudaira, O.; Yamashita, N.; Kobayashi, S.; Hareyama, M.; Miyachi, T.; Kodaira, S.; Komatsu, S.; Hayatsu, K.; Iwabuchi, K.; Nemoto, S.; Takeda, Y.; Tsukada, K.; Nagaoka, H.; Ebihara, M.; Hihara, T.; Arai, T.; Sugihara, T.; Takeda, H.; d'Uston, C.; Gasnault, O.; Diez, B.; Fomi, O.; Maurice, S.; Reedy, R. C.; Kim, K. J.</t>
  </si>
  <si>
    <t>Elemental mapping of the moon by the selene GRS observation</t>
  </si>
  <si>
    <t>GAMMA-RAY SPECTROMETER</t>
  </si>
  <si>
    <t>[Karouji, Y.; Hasebe, N.; Okudaira, O.; Yamashita, N.; Kobayashi, S.; Hareyama, M.; Miyachi, T.; Kodaira, S.; Komatsu, S.; Hayatsu, K.; Iwabuchi, K.; Nemoto, S.; Takeda, Y.; Tsukada, K.; Nagaoka, H.] Waseda Univ, Tokyo, Japan; [Shibamura, E.] Saitama Prefectural Univ, Saitama, Japan; [Ebihara, M.; Hihara, T.] Tokyo Metropolitan Univ, Tokyo, Japan; [Takeda, H.] Chiba Inst Technol, Chiba, Japan; [Reedy, R. C.] Univ New Mexico, Albuquerque, NM 87131 USA</t>
  </si>
  <si>
    <t>Waseda University; Tokyo Metropolitan University; Chiba Institute of Technology; University of New Mexico</t>
  </si>
  <si>
    <t>karouji@aoni.waseda.jp</t>
  </si>
  <si>
    <t>Kodaira, Satoshi/H-9836-2012; Nagaoka, Hiroshi/AAP-5240-2020; Gasnault, Olivier/F-4327-2010</t>
  </si>
  <si>
    <t>Gasnault, Olivier/0000-0002-6979-9012</t>
  </si>
  <si>
    <t>WOS:000257683100118</t>
  </si>
  <si>
    <t>Karwowski, L; Muszynski, A</t>
  </si>
  <si>
    <t>Karwowski, L.; Muszynski, A.</t>
  </si>
  <si>
    <t>Multimineral inclusions in the morasko coarse octahedrite</t>
  </si>
  <si>
    <t>[Karwowski, L.] Univ Silesia, Fac Earth Sci, PL-41200 Sosnowiec, Poland; [Muszynski, A.] Adam Mickiewicz Univ Poznan, Inst Geol, PL-60606 Poznan, Poland</t>
  </si>
  <si>
    <t>University of Silesia in Katowice; Adam Mickiewicz University</t>
  </si>
  <si>
    <t>lkarwows@wnoz.us.edu.pl; anmu@amu.edu.pl</t>
  </si>
  <si>
    <t>Karwowski, Łukasz/AAG-6612-2020</t>
  </si>
  <si>
    <t>Karwowski, Łukasz/0000-0002-9223-3383</t>
  </si>
  <si>
    <t>A71</t>
  </si>
  <si>
    <t>WOS:000257683100119</t>
  </si>
  <si>
    <t>Kato, M; Takizawa, Y; Sasaki, S</t>
  </si>
  <si>
    <t>Kato, M.; Takizawa, Y.; Sasaki, S.</t>
  </si>
  <si>
    <t>Selene Project Team</t>
  </si>
  <si>
    <t>The Kaguya (selene) mission: Present status and lunar science</t>
  </si>
  <si>
    <t>kato@planeta.sci.isas.jaxa.jp</t>
  </si>
  <si>
    <t>WOS:000257683100120</t>
  </si>
  <si>
    <t>Kawabe, S; Saiki, K</t>
  </si>
  <si>
    <t>Kawabe, S.; Saiki, K.</t>
  </si>
  <si>
    <t>Optimizing of the photometric function by using statistical processing of clementine UVVIS images</t>
  </si>
  <si>
    <t>[Kawabe, S.; Saiki, K.] Osaka Univ, Grad Sch Sci, Dept Earth &amp; Space Sci, Osaka 5600043, Japan</t>
  </si>
  <si>
    <t>Osaka University</t>
  </si>
  <si>
    <t>kawabe@astroboy.ess.sci.osaka-u.ac.jp</t>
  </si>
  <si>
    <t>A72</t>
  </si>
  <si>
    <t>WOS:000257683100121</t>
  </si>
  <si>
    <t>Kayama, M; Nakazato, T; Nishido, H; Ninagawa, K; Gucsik, A; Bérczi, S</t>
  </si>
  <si>
    <t>Kayama, M.; Nakazato, T.; Nishido, H.; Ninagawa, K.; Gucsik, A.; Berczi, Sz.</t>
  </si>
  <si>
    <t>Shock pressure estimation for martian meteorite (DHOFAR 019) by Raman spectroscopy and cathodoluminescence</t>
  </si>
  <si>
    <t>[Kayama, M.; Nakazato, T.; Nishido, H.; Berczi, Sz.] Okayama Univ Sci, Res Inst Nat Sci, Okayama 700005, Japan; [Ninagawa, K.] Okayama Univ Sci, Dept Appl Phys, Okayama 700005, Japan; [Gucsik, A.] Max Planck Inst Chem, Dept Geochem, D-55128 Mainz, Germany; [Berczi, Sz.] Eotvos Lorand Univ, Dept G Phys, Cosm Mat Space R Grp, H-1117 Budapest, Hungary</t>
  </si>
  <si>
    <t>Okayama University of Science; Okayama University of Science; Max Planck Society; Eotvos Lorand University</t>
  </si>
  <si>
    <t>kayama0127@gmail.com</t>
  </si>
  <si>
    <t>Gucsik, Arnold/G-3570-2016</t>
  </si>
  <si>
    <t>WOS:000257683100122</t>
  </si>
  <si>
    <t>Kebukawa, Y; Nakashima, S; Zolensky, ME</t>
  </si>
  <si>
    <t>Kebukawa, Y.; Nakashima, S.; Zolensky, M. E.</t>
  </si>
  <si>
    <t>Thermal stabilities of organic matter in carbonaceous chondrites using in situ heating micro FTIR analyses</t>
  </si>
  <si>
    <t>[Kebukawa, Y.; Nakashima, S.] Osaka Univ, Dept Earth &amp; Space Sci, Osaka 5600043, Japan; [Zolensky, M. E.] NASA, Lyndon B Johnson Space Ctr, KT, Houston, TX 77058 USA</t>
  </si>
  <si>
    <t>Osaka University; National Aeronautics &amp; Space Administration (NASA); NASA Johnson Space Center</t>
  </si>
  <si>
    <t>yoko.soleil@ess.sci.osaka-u.ac.jp</t>
  </si>
  <si>
    <t>Nakashima, Satoru/ABA-2157-2021</t>
  </si>
  <si>
    <t>A73</t>
  </si>
  <si>
    <t>WOS:000257683100123</t>
  </si>
  <si>
    <t>Keller, LP; Messenger, S</t>
  </si>
  <si>
    <t>Keller, L. P.; Messenger, S.</t>
  </si>
  <si>
    <t>Relict amorphous silicates in stardust samples</t>
  </si>
  <si>
    <t>[Keller, L. P.; Messenger, S.] NASA, Lyndon B Johnson Space Ctr, ARES, Robert M Walker Lab Space Sci, Houston, TX 77058 USA</t>
  </si>
  <si>
    <t>Lindsay.P.Keller@nasa.gov</t>
  </si>
  <si>
    <t>A74</t>
  </si>
  <si>
    <t>WOS:000257683100125</t>
  </si>
  <si>
    <t>Keller, LP; Flynn, GJ</t>
  </si>
  <si>
    <t>Keller, L. P.; Flynn, G. J.</t>
  </si>
  <si>
    <t>Mid- and far-infrared spectra of anhydrous interplanetary dust particles</t>
  </si>
  <si>
    <t>[Keller, L. P.] NASA, Lyndon B Johnson Space Ctr, Code KR, Houston, TX 77058 USA; [Flynn, G. J.] SUNY Coll Plattsburgh, Dept Phys, Plattsburgh, NY 12901 USA</t>
  </si>
  <si>
    <t>National Aeronautics &amp; Space Administration (NASA); NASA Johnson Space Center; State University of New York (SUNY) System; SUNY Plattsburgh</t>
  </si>
  <si>
    <t>WOS:000257683100124</t>
  </si>
  <si>
    <t>Kelley, MS; Reddy, V; Gaffey, MJ</t>
  </si>
  <si>
    <t>Kelley, M. S.; Reddy, V.; Gaffey, M. J.</t>
  </si>
  <si>
    <t>Analyses of near-IR spectra for three asteroids in the Hungaria region</t>
  </si>
  <si>
    <t>SPECTROSCOPIC SURVEY</t>
  </si>
  <si>
    <t>[Kelley, M. S.] NASA Headquarters, Planetary Sci Div, Houston, TX USA; [Reddy, V.] Univ N Dakota, Dept Earth Syst Sci &amp; Policy, Grand Forks, ND 58201 USA; [Gaffey, M. J.] Univ N Dakota, Dept Space Studies, Grand Forks, ND 58201 USA</t>
  </si>
  <si>
    <t>National Aeronautics &amp; Space Administration (NASA); University of North Dakota Grand Forks; University of North Dakota Grand Forks</t>
  </si>
  <si>
    <t>Michael.S.Kelley@nasa.gov</t>
  </si>
  <si>
    <t>WOS:000257683100126</t>
  </si>
  <si>
    <t>Kimura, M; Grossman, JN; Weisberg, MK</t>
  </si>
  <si>
    <t>Kimura, M.; Grossman, J. N.; Weisberg, M. K.</t>
  </si>
  <si>
    <t>Thermal history and classification of CM chondrites from Fe-Ni metal: A preliminary report</t>
  </si>
  <si>
    <t>[Kimura, M.] Ibaraki Univ, Ibaraki, Japan; [Grossman, J. N.] US Geol Survey, Washington, DC 20242 USA; [Weisberg, M. K.] CUNY, Kingsborough Coll, New York, NY USA; [Weisberg, M. K.] Amer Museum Nat Hist, New York, NY 10024 USA</t>
  </si>
  <si>
    <t>Ibaraki University; United States Department of the Interior; United States Geological Survey; City University of New York (CUNY) System; American Museum of Natural History (AMNH)</t>
  </si>
  <si>
    <t>makotoki@mx.ibaraki.ac.jp</t>
  </si>
  <si>
    <t>A184</t>
  </si>
  <si>
    <t>WOS:000257683100344</t>
  </si>
  <si>
    <t>Kimura, M; Lin, Y; Floss, C; Suzuki, A; Mikouchi, T; Ebihara, M</t>
  </si>
  <si>
    <t>Kimura, M.; Lin, Y.; Floss, C.; Suzuki, A.; Mikouchi, T.; Ebihara, M.</t>
  </si>
  <si>
    <t>Fluorophlogopite in the EH chondrite Y-82189</t>
  </si>
  <si>
    <t>[Kimura, M.] Ibaraki Univ, Mito, Ibaraki, Japan; [Lin, Y.] Chinese Acad Sci, Inst Geol &amp; Geophys, Beijing 100864, Peoples R China; [Floss, C.] Washington Univ, St Louis, MO 63130 USA; [Suzuki, A.] Tohoku Univ, Sendai, Miyagi 980, Japan; [Mikouchi, T.] Univ Tokyo, Tokyo 1138654, Japan; [Ebihara, M.] Tokyo Metropolitan Univ, Tokyo, Japan</t>
  </si>
  <si>
    <t>Ibaraki University; Chinese Academy of Sciences; Institute of Geology &amp; Geophysics, CAS; Washington University (WUSTL); Tohoku University; University of Tokyo; Tokyo Metropolitan University</t>
  </si>
  <si>
    <t>Lin, Yangting/A-8845-2015; lin, yt/IQT-6771-2023; Mikouchi, Takashi/AAY-7355-2021; SUZUKI, Akio/AAP-1125-2020</t>
  </si>
  <si>
    <t>SUZUKI, Akio/0000-0002-7093-6897</t>
  </si>
  <si>
    <t>A75</t>
  </si>
  <si>
    <t>WOS:000257683100127</t>
  </si>
  <si>
    <t>Kimura, M; Mikouchi, T; Suzuki, A; Miyahara, M; Ohtani, E; El Goresy, A</t>
  </si>
  <si>
    <t>Kimura, M.; Mikouchi, T.; Suzuki, A.; Miyahara, M.; Ohtani, E.; El Goresy, A.</t>
  </si>
  <si>
    <t>Characterization of pyroxene highly enriched in Ca-tschermak component in the CH chondrite ALH 85085</t>
  </si>
  <si>
    <t>INCLUSIONS; HIBONITE</t>
  </si>
  <si>
    <t>[Kimura, M.] Ibaraki Univ, Mito, Ibaraki, Japan; [Mikouchi, T.] Univ Tokyo, Tokyo 1138654, Japan; [Suzuki, A.; Miyahara, M.; Ohtani, E.] Tohoku Univ, Sendai, Miyagi 980, Japan; [El Goresy, A.] Univ Bayreuth, Bayer Geoinst, D-95440 Bayreuth, Germany</t>
  </si>
  <si>
    <t>Ibaraki University; University of Tokyo; Tohoku University; University of Bayreuth</t>
  </si>
  <si>
    <t>Ohtani, Eiji/AAD-8011-2019; Mikouchi, Takashi/AAY-7355-2021; Miyahara, Masaaki/AAQ-6557-2020; Miyahara, Masaaki/AAP-9679-2020; SUZUKI, Akio/AAP-1125-2020</t>
  </si>
  <si>
    <t>Miyahara, Masaaki/0000-0002-4404-9813; Miyahara, Masaaki/0000-0002-4404-9813; SUZUKI, Akio/0000-0002-7093-6897</t>
  </si>
  <si>
    <t>WOS:000257683100128</t>
  </si>
  <si>
    <t>Kimura, Y; Kaito, C; Nuth, JA</t>
  </si>
  <si>
    <t>Kimura, Y.; Kaito, C.; Nuth, J. A., III</t>
  </si>
  <si>
    <t>Crystallinity of Mg-bearing silicate grains due to condensation or thermal evolution</t>
  </si>
  <si>
    <t>SPECTRA</t>
  </si>
  <si>
    <t>[Kimura, Y.] Hokkaido Univ, Sapporo, Hokkaido 060, Japan; [Kaito, C.] Ritsumeikan Univ, Kyoto, Japan</t>
  </si>
  <si>
    <t>Hokkaido University; Ritsumeikan University</t>
  </si>
  <si>
    <t>ykimura@lowtem.hokudai.ac.jp</t>
  </si>
  <si>
    <t>Nuth, Joseph A/E-7085-2012; Kimura, Yuki/J-9635-2014</t>
  </si>
  <si>
    <t>Kimura, Yuki/0000-0002-9218-7663</t>
  </si>
  <si>
    <t>A76</t>
  </si>
  <si>
    <t>WOS:000257683100129</t>
  </si>
  <si>
    <t>Kiriishi, M; Tomeoka, K</t>
  </si>
  <si>
    <t>Kiriishi, Miho; Tomeoka, Kazushige</t>
  </si>
  <si>
    <t>Northwest Africa 1232 - A CO3 carbonaceous chondrite with two lithologies</t>
  </si>
  <si>
    <t>INCLUSIONS</t>
  </si>
  <si>
    <t>[Kiriishi, Miho; Tomeoka, Kazushige] Kobe Univ, Dept Earth &amp; Planetary Sci, Fac Sci, Nada Ku, Kobe, Hyogo 6578501, Japan</t>
  </si>
  <si>
    <t>miho@stu.kobe-u.ac.jp</t>
  </si>
  <si>
    <t>WOS:000257683100130</t>
  </si>
  <si>
    <t>Kita, NT; Ushikubo, T; Kimura, M; Nyquist, LE; Valley, JW</t>
  </si>
  <si>
    <t>Kita, N. T.; Ushikubo, T.; Kimura, M.; Nyquist, L. E.; Valley, J. W.</t>
  </si>
  <si>
    <t>Heterogeneous oxygen isotope ratios of olivine in chondrules from Y-793408 (H3.2) chondrite</t>
  </si>
  <si>
    <t>[Kita, N. T.; Ushikubo, T.; Valley, J. W.] Univ Wisconsin, Madison, WI 53706 USA; [Kimura, M.] Ibaraki Univ, Mito, Ibaraki, Japan; [Nyquist, L. E.] NASA, Lyndon B Johnson Space Ctr, Houston, TX USA</t>
  </si>
  <si>
    <t>University of Wisconsin System; University of Wisconsin Madison; Ibaraki University; National Aeronautics &amp; Space Administration (NASA); NASA Johnson Space Center</t>
  </si>
  <si>
    <t>noriko@geology.wisc.edu</t>
  </si>
  <si>
    <t>Kita, Noriko T./H-8035-2016; Valley, John W./B-3466-2011</t>
  </si>
  <si>
    <t>Kita, Noriko T./0000-0002-0204-0765; Valley, John W./0000-0003-3530-2722</t>
  </si>
  <si>
    <t>A77</t>
  </si>
  <si>
    <t>WOS:000257683100131</t>
  </si>
  <si>
    <t>Kitajima, F; Nakamura, T</t>
  </si>
  <si>
    <t>Kitajima, F.; Nakamura, T.</t>
  </si>
  <si>
    <t>A microraman study on the thermal history of several chondritic and terrestrial carbonaceous matters</t>
  </si>
  <si>
    <t>[Kitajima, F.; Nakamura, T.] Kyushu Univ, Fukuoka 812, Japan</t>
  </si>
  <si>
    <t>Kyushu University</t>
  </si>
  <si>
    <t>kitajima@geo.kyushu-u.ac.jp</t>
  </si>
  <si>
    <t>WOS:000257683100132</t>
  </si>
  <si>
    <t>Koeberl, C</t>
  </si>
  <si>
    <t>Koeberl, C.</t>
  </si>
  <si>
    <t>Impactor type of the late eocene age impact craters on earth: constraints from impactite studies at the chesapeake bay impact structure</t>
  </si>
  <si>
    <t>[Koeberl, C.] Univ Vienna, Dept Lithospher Res, A-1090 Vienna, Austria</t>
  </si>
  <si>
    <t>University of Vienna</t>
  </si>
  <si>
    <t>katerina.bartosova@univie.ac.at</t>
  </si>
  <si>
    <t>A78</t>
  </si>
  <si>
    <t>WOS:000257683100133</t>
  </si>
  <si>
    <t>Kofman, RS; Herd, CDK; Walton, EL; Froese, DG; Herd, EPK</t>
  </si>
  <si>
    <t>Kofman, R. S.; Herd, C. D. K.; Walton, E. L.; Froese, D. G.; Herd, E. P. K.</t>
  </si>
  <si>
    <t>A geologic overview of the late holocene Whitecourt meteorite impact crater</t>
  </si>
  <si>
    <t>[Herd, E. P. K.] Univ Alberta, Nat Resources Eng Facil, Markin CNRL 3 133, Dept Civil &amp; Environm Engn, Edmonton, AB T6G 2E3, Canada</t>
  </si>
  <si>
    <t>University of Alberta</t>
  </si>
  <si>
    <t>rkofman@ualberta.ca</t>
  </si>
  <si>
    <t>WOS:000257683100134</t>
  </si>
  <si>
    <t>Koizumi, E; Mikouchi, T; Mckay, G; Miyamoto, M</t>
  </si>
  <si>
    <t>Koizumi, E.; Mikouchi, T.; McKay, G.; Miyamoto, M.</t>
  </si>
  <si>
    <t>Crystallization relationship of Yamato-980459 and Que 94201 depleted shergottites</t>
  </si>
  <si>
    <t>[Koizumi, E.] Remote Sensing Technol Ctr Japan, Tokyo 1060032, Japan; [Koizumi, E.; Mikouchi, T.; Miyamoto, M.] Univ Tokyo, Dept Earth &amp; Planet Sci, Tokyo 1130033, Japan; [McKay, G.] NASA, Lyndon B Johnson Space Ctr, Mail Code KR, Houston, TX 77058 USA</t>
  </si>
  <si>
    <t>University of Tokyo; National Aeronautics &amp; Space Administration (NASA); NASA Johnson Space Center</t>
  </si>
  <si>
    <t>koizumi_eisuke@restec.or.jp</t>
  </si>
  <si>
    <t>Mikouchi, Takashi/AAY-7355-2021; McKay, Gareth/HNJ-3797-2023</t>
  </si>
  <si>
    <t>A79</t>
  </si>
  <si>
    <t>WOS:000257683100135</t>
  </si>
  <si>
    <t>Kojima, H; Imae, N; Kaiden, H</t>
  </si>
  <si>
    <t>Kojima, H.; Imae, N.; Kaiden, H.</t>
  </si>
  <si>
    <t>Japanese meteorite search in Antarctica</t>
  </si>
  <si>
    <t>[Kojima, H.; Imae, N.; Kaiden, H.] Natl Inst Polar Res, Itabashi Ku, Tokyo 1738515, Japan</t>
  </si>
  <si>
    <t>Research Organization of Information &amp; Systems (ROIS); National Institute of Polar Research (NIPR) - Japan</t>
  </si>
  <si>
    <t>kojima@nipr.ac.jp</t>
  </si>
  <si>
    <t>WOS:000257683100345</t>
  </si>
  <si>
    <t>Komatsu, M; Mikouchi, T; Miyamoto, M</t>
  </si>
  <si>
    <t>Komatsu, M.; Mikouchi, T.; Miyamoto, M.</t>
  </si>
  <si>
    <t>Hydrous and anhydrous alteration of unsubgrouped CV chondrite Y-86751</t>
  </si>
  <si>
    <t>[Komatsu, M.] Univ Tokyo, Univ Museum, Tokyo 1138654, Japan; [Mikouchi, T.; Miyamoto, M.] Univ Tokyo, Dept Earth &amp; Planetary Sci, Tokyo 1138654, Japan</t>
  </si>
  <si>
    <t>University of Tokyo; University of Tokyo</t>
  </si>
  <si>
    <t>mutsumi@um.u-tokyo.ac.jp</t>
  </si>
  <si>
    <t>Komatsu, Mutsumi/O-7971-2018; Komatsu, Mutsumi/N-9483-2019; Mikouchi, Takashi/AAY-7355-2021</t>
  </si>
  <si>
    <t>Komatsu, Mutsumi/0000-0003-4659-8418;</t>
  </si>
  <si>
    <t>WOS:000257683100136</t>
  </si>
  <si>
    <t>Kondo, T; Hidaka, H; Yoneda, S</t>
  </si>
  <si>
    <t>Kondo, T.; Hidaka, H.; Yoneda, S.</t>
  </si>
  <si>
    <t>Large samarium isotopic shift of the norton county meteorite by neutron capture effect</t>
  </si>
  <si>
    <t>GD</t>
  </si>
  <si>
    <t>[Kondo, T.; Hidaka, H.] Hiroshima Univ, Dept Earth &amp; Planetary Syst Sci, Higashihiroshima 7398526, Japan; [Yoneda, S.] Natl Museum Nat &amp; Sci, Dept Sci &amp; Engn, Tokyo 1690073, Japan</t>
  </si>
  <si>
    <t>m080360@hiroshima-u.ac.jp</t>
  </si>
  <si>
    <t>A80</t>
  </si>
  <si>
    <t>WOS:000257683100137</t>
  </si>
  <si>
    <t>Korochantseva, EV; Buikin, AI; Lorenz, CA; Hopp, J; Trieloff, M</t>
  </si>
  <si>
    <t>Korochantseva, E. V.; Buikin, A. I.; Lorenz, C. A.; Hopp, J.; Trieloff, M.</t>
  </si>
  <si>
    <t>40Ar-39Ar dating of new eucrite dhofar 1439 reveals a recent impact event on the eucrite parent body</t>
  </si>
  <si>
    <t>METEORITES; AGES</t>
  </si>
  <si>
    <t>[Korochantseva, E. V.; Buikin, A. I.; Hopp, J.; Trieloff, M.] Univ Heidelberg, Inst Mineral, D-69120 Heidelberg, Germany; [Korochantseva, E. V.; Buikin, A. I.; Lorenz, C. A.] Vernadsky Inst Geochem, Moscow 119991, Russia</t>
  </si>
  <si>
    <t>Ruprecht Karls University Heidelberg; Russian Academy of Sciences; Vernadsky Institute of Geochemistry &amp; Analytical Chemistry</t>
  </si>
  <si>
    <t>trieloff@min.uni-heidelberg.de</t>
  </si>
  <si>
    <t>Lorenz, Cyril/U-1783-2017; BUIKIN, Alexei Ivanovich/J-8342-2018; Buikin, Alexei/AAS-3025-2020; Ekaterina, Korochantseva/ABF-2166-2021</t>
  </si>
  <si>
    <t>BUIKIN, Alexei Ivanovich/0000-0001-5847-6413; Buikin, Alexei/0000-0001-5847-6413;</t>
  </si>
  <si>
    <t>WOS:000257683100138</t>
  </si>
  <si>
    <t>Krause, M; Blum, J; Trieloff, M</t>
  </si>
  <si>
    <t>Krause, M.; Blum, J.; Trieloff, M.</t>
  </si>
  <si>
    <t>Physical properties of high-porosity dust aggregates</t>
  </si>
  <si>
    <t>[Krause, M.; Blum, J.] Tech Univ Carolo Wilhelmina Braunschweig, Inst Geophys &amp; Extraterr Phys, Braunschweig, Germany; [Trieloff, M.] Univ Heidelberg, Inst Mineral, D-6900 Heidelberg, Germany</t>
  </si>
  <si>
    <t>Braunschweig University of Technology; Ruprecht Karls University Heidelberg</t>
  </si>
  <si>
    <t>Blum, Jürgen/B-5590-2011</t>
  </si>
  <si>
    <t>A81</t>
  </si>
  <si>
    <t>WOS:000257683100139</t>
  </si>
  <si>
    <t>Krot, AN</t>
  </si>
  <si>
    <t>Krot, Alexander N.</t>
  </si>
  <si>
    <t>Classification of the metal-rich (CH, CH/CB, CBA, CBB) carbonaceous chondrites</t>
  </si>
  <si>
    <t>[Krot, Alexander N.] Univ Hawaii Manoa, HIGP SOEST, Honolulu, HI 96822 USA</t>
  </si>
  <si>
    <t>sasha@higp.hawaii.edu</t>
  </si>
  <si>
    <t>A185</t>
  </si>
  <si>
    <t>WOS:000257683100346</t>
  </si>
  <si>
    <t>Krot, AN; Nagashima, K</t>
  </si>
  <si>
    <t>Krot, Alexander N.; Nagashima, Kazuhide</t>
  </si>
  <si>
    <t>Oxygen isotope compositions of chondrules from the CH/CB-like chondrite Isheyevo and CB chondrites MAC 02675 and QUE 94627</t>
  </si>
  <si>
    <t>[Krot, Alexander N.; Nagashima, Kazuhide] Univ Hawaii, HIGP SOEST, Manoa, HI USA</t>
  </si>
  <si>
    <t>WOS:000257683100140</t>
  </si>
  <si>
    <t>Kubo, T; Kimura, M; Nishi, M; Tominaga, A; Kato, T; Kikegawa, T; Funakoshi, K; Miyahara, M</t>
  </si>
  <si>
    <t>Kubo, T.; Kimura, M.; Nishi, M.; Tominaga, A.; Kato, T.; Kikegawa, T.; Funakoshi, K.; Miyahara, M.</t>
  </si>
  <si>
    <t>Formation of jadeite from plagioclase: Constraints on the P-T-t conditions of shocked meteorites</t>
  </si>
  <si>
    <t>[Kubo, T.; Nishi, M.; Tominaga, A.; Kato, T.] Kyushu Univ, Dept Earth &amp; Planetary Sci, Fukuoka 8128581, Japan; [Kimura, M.] Ibaraki Univ, Inst Astrophys &amp; Planetary Sci, Mito, Ibaraki 3108512, Japan; [Kikegawa, T.] High Energy Accelerator Res Org, Photon Factory, Tsukuba, Ibaraki 3050801, Japan; [Miyahara, M.] Tohoku Univ, Inst Mineral Petrol &amp; Econ Geol, Sendai, Miyagi 9808578, Japan</t>
  </si>
  <si>
    <t>Kyushu University; Ibaraki University; High Energy Accelerator Research Organization (KEK); Tohoku University</t>
  </si>
  <si>
    <t>kubotomo@geo.kyushu-u.ac.jp</t>
  </si>
  <si>
    <t>Miyahara, Masaaki/AAP-9679-2020; Nishi, Masayuki/A-6444-2014; Miyahara, Masaaki/AAQ-6557-2020</t>
  </si>
  <si>
    <t>Miyahara, Masaaki/0000-0002-4404-9813; Miyahara, Masaaki/0000-0002-4404-9813</t>
  </si>
  <si>
    <t>A82</t>
  </si>
  <si>
    <t>WOS:000257683100141</t>
  </si>
  <si>
    <t>Kurat, G; Varela, ME; Zinner, E</t>
  </si>
  <si>
    <t>Kurat, G.; Varela, M. E.; Zinner, E.</t>
  </si>
  <si>
    <t>AIO(OH) is a major constituent of the CAI Blue Moon from the Renazzo (CV3) chondrite</t>
  </si>
  <si>
    <t>DUST PARTICLES; INCLUSIONS</t>
  </si>
  <si>
    <t>[Kurat, G.] Univ Vienna, Dept Lithospher Sci, Vienna, Austria; [Varela, M. E.] CASLEO CONICET, San Juan, PR, Argentina; [Zinner, E.] Washington Univ, Space Sci Lab, St Louis, MO USA; [Zinner, E.] Washington Univ, Dept Phys, St Louis, MO 63130 USA</t>
  </si>
  <si>
    <t>University of Vienna; Consejo Nacional de Investigaciones Cientificas y Tecnicas (CONICET); Washington University (WUSTL); Washington University (WUSTL)</t>
  </si>
  <si>
    <t>gero.kurat@univie.ac.at</t>
  </si>
  <si>
    <t>WOS:000257683100142</t>
  </si>
  <si>
    <t>Kurihara, T; Mikouchi, T; Saruwatari, K; Kameda, J; Miyamoto, M</t>
  </si>
  <si>
    <t>Kurihara, T.; Mikouchi, T.; Saruwatari, K.; Kameda, J.; Miyamoto, M.</t>
  </si>
  <si>
    <t>Transmission electron microscopy of olivine in the LAR 06319 olivine-phyric shergottite</t>
  </si>
  <si>
    <t>[Kurihara, T.; Mikouchi, T.; Saruwatari, K.; Kameda, J.; Miyamoto, M.] Univ Tokyo, Dept Earth &amp; Planetary Sci, Grad Sch Sci, Bunkyo Ku, Tokyo 1130033, Japan</t>
  </si>
  <si>
    <t>University of Tokyo</t>
  </si>
  <si>
    <t>kurihar@eps.s.u-tokyo.ac.jp</t>
  </si>
  <si>
    <t>Mikouchi, Takashi/AAY-7355-2021</t>
  </si>
  <si>
    <t>A83</t>
  </si>
  <si>
    <t>WOS:000257683100143</t>
  </si>
  <si>
    <t>Kusuno, H; Fukuoka, T; Kojima, H; Matsuzaki, H</t>
  </si>
  <si>
    <t>Kusuno, H.; Fukuoka, T.; Kojima, H.; Matsuzaki, H.</t>
  </si>
  <si>
    <t>The 26Al concentration in 53 Antarctic meteorites</t>
  </si>
  <si>
    <t>EXPOSURE AGES; BE-10</t>
  </si>
  <si>
    <t>[Matsuzaki, H.] Univ Tokyo, Sch Engn, Tokyo 1138654, Japan</t>
  </si>
  <si>
    <t>089w00002@ris.ac.jp</t>
  </si>
  <si>
    <t>WOS:000257683100144</t>
  </si>
  <si>
    <t>Leclerc, MD; Valenzuela, EM; Jull, AJT</t>
  </si>
  <si>
    <t>Leclerc, M. D.; Valenzuela, E. M.; Jull, A. J. T.</t>
  </si>
  <si>
    <t>14C terrestrial ages of meteorites from the Atacama Desert (Chile)</t>
  </si>
  <si>
    <t>[Leclerc, M. D.; Jull, A. J. T.] Univ Arizona, NSF Arizona AMS Lab, Tucson, AZ 85721 USA; [Valenzuela, E. M.] Univ Chile, Dep Geol, Santiago, Chile</t>
  </si>
  <si>
    <t>National Science Foundation (NSF); University of Arizona; Universidad de Chile</t>
  </si>
  <si>
    <t>leclerc@email.arizona.edu</t>
  </si>
  <si>
    <t>A84</t>
  </si>
  <si>
    <t>WOS:000257683100145</t>
  </si>
  <si>
    <t>Lee, DC</t>
  </si>
  <si>
    <t>Lee, D-C.</t>
  </si>
  <si>
    <t>182Hf-182W chronometry and the evolution of acapulcoite-lodranite parent body</t>
  </si>
  <si>
    <t>[Lee, D-C.] Acad Sinica, Inst Earth Sci, Taipei, Taiwan</t>
  </si>
  <si>
    <t>Academia Sinica - Taiwan</t>
  </si>
  <si>
    <t>dclee@earth.sinica.edu.tw</t>
  </si>
  <si>
    <t>Lee, Der-Chuen/N-9225-2013</t>
  </si>
  <si>
    <t>WOS:000257683100146</t>
  </si>
  <si>
    <t>Lehner, SW; Buseck, PR; McDonough, WF; Ash, RD</t>
  </si>
  <si>
    <t>Lehner, S. W.; Buseck, P. R.; McDonough, W. F.; Ash, R. D.</t>
  </si>
  <si>
    <t>Siderophile element distribution in metal-sulfide nodules from EH3 Sahara 97072</t>
  </si>
  <si>
    <t>[Lehner, S. W.; Buseck, P. R.] Arizona State Univ, SESE, Tempe, AZ 85287 USA; [McDonough, W. F.; Ash, R. D.] Univ Maryland, Dept Geol, College Pk, MD 20742 USA</t>
  </si>
  <si>
    <t>Arizona State University; Arizona State University-Tempe; University System of Maryland; University of Maryland College Park</t>
  </si>
  <si>
    <t>slehner@asu.edu</t>
  </si>
  <si>
    <t>Ash, Richard/AAD-4888-2021; McDonough, William F/I-7720-2012</t>
  </si>
  <si>
    <t>Ash, Richard/0000-0003-2144-5917;</t>
  </si>
  <si>
    <t>A85</t>
  </si>
  <si>
    <t>WOS:000257683100147</t>
  </si>
  <si>
    <t>Leitner, J; Hoppe, P; Huth, J; Zipfel, J</t>
  </si>
  <si>
    <t>Leitner, J.; Hoppe, P.; Huth, J.; Zipfel, J.</t>
  </si>
  <si>
    <t>Nanosims search for presolar grains in matter from comet 81P/Wild 2 and the CR chondrite NWA 852</t>
  </si>
  <si>
    <t>SILICATE; DISCOVERY; STARS</t>
  </si>
  <si>
    <t>[Leitner, J.; Hoppe, P.; Huth, J.] Max Planck Inst Chem, D-55128 Mainz, Germany; [Zipfel, J.] Forschungsinst, D-60325 Frankfurt, Germany; [Zipfel, J.] Nat Museum Senckenberg, D-60325 Frankfurt, Germany</t>
  </si>
  <si>
    <t>Max Planck Society; Senckenberg Gesellschaft fur Naturforschung (SGN)</t>
  </si>
  <si>
    <t>leitner@mpch-mainz.mpg.de</t>
  </si>
  <si>
    <t>WOS:000257683100148</t>
  </si>
  <si>
    <t>Lin, Y; Luo, H; Hu, S; Feng, L; Liu, T; Miao, B</t>
  </si>
  <si>
    <t>Lin, Y.; Luo, H.; Hu, S.; Feng, L.; Liu, T.; Miao, B.</t>
  </si>
  <si>
    <t>Magnetic susceptibility of grove mountains meteorites</t>
  </si>
  <si>
    <t>CLASSIFICATION; ANTARCTICA</t>
  </si>
  <si>
    <t>[Lin, Y.; Luo, H.; Hu, S.; Feng, L.; Liu, T.] Chinese Acad Sci, Inst Geol &amp; Geophys, Beijing, Peoples R China</t>
  </si>
  <si>
    <t>lin, yt/IQT-6771-2023; Lin, Yangting/A-8845-2015; Zhang, Jingwei/AAJ-7221-2020</t>
  </si>
  <si>
    <t>Zhang, Jingwei/0000-0001-9973-7771</t>
  </si>
  <si>
    <t>WOS:000257683100347</t>
  </si>
  <si>
    <t>Lin, Y; Liu, T; Shen, W; Xu, L; Miao, B</t>
  </si>
  <si>
    <t>Lin, Y.; Liu, T.; Shen, W.; Xu, L.; Miao, B.</t>
  </si>
  <si>
    <t>Grove mountains (GRV) 020090: A highly fractionated lherzolitic shergottite</t>
  </si>
  <si>
    <t>MINERAL CHEMISTRY; PETROGENESIS; PETROGRAPHY; ANTARCTICA; METEORITE</t>
  </si>
  <si>
    <t>[Lin, Y.; Liu, T.; Shen, W.] Chinese Acad Sci, Inst Geol &amp; Geophys, Key Lab Earths Deep Interior, Beijing, Peoples R China; [Xu, L.] Chinese Acad Sci, Natl Astron Observ, Beijing, Peoples R China</t>
  </si>
  <si>
    <t>Chinese Academy of Sciences; Institute of Geology &amp; Geophysics, CAS; Chinese Academy of Sciences; National Astronomical Observatory, CAS</t>
  </si>
  <si>
    <t>Lin, Yangting/A-8845-2015; lin, yt/IQT-6771-2023</t>
  </si>
  <si>
    <t>A86</t>
  </si>
  <si>
    <t>WOS:000257683100149</t>
  </si>
  <si>
    <t>Lodders, K</t>
  </si>
  <si>
    <t>Lodders, K.</t>
  </si>
  <si>
    <t>Sulfur in the Orgueil CI chondrite</t>
  </si>
  <si>
    <t>CARBONACEOUS CHONDRITES; METEORITES</t>
  </si>
  <si>
    <t>[Lodders, K.] Washington Univ, Dept Earth &amp; Planetary Sci, St Louis, MO 63130 USA</t>
  </si>
  <si>
    <t>lodders@wustl.edu</t>
  </si>
  <si>
    <t>WOS:000257683100150</t>
  </si>
  <si>
    <t>Lyons, JR</t>
  </si>
  <si>
    <t>Lyons, J. R.</t>
  </si>
  <si>
    <t>Oxygen isotope fractionation during CO self-shielding: Dependence on the fuv source star</t>
  </si>
  <si>
    <t>SOLAR-SYSTEM; NEBULA; ORIGIN; DISK</t>
  </si>
  <si>
    <t>[Lyons, J. R.] Univ Calif Los Angeles, Dept Geophys &amp; Planetary Phys, Los Angeles, CA 90024 USA</t>
  </si>
  <si>
    <t>University of California System; University of California Los Angeles</t>
  </si>
  <si>
    <t>jimlyons@ucla.edu</t>
  </si>
  <si>
    <t>A87</t>
  </si>
  <si>
    <t>WOS:000257683100151</t>
  </si>
  <si>
    <t>Maeda, M; Tomeoka, K</t>
  </si>
  <si>
    <t>Maeda, M.; Tomeoka, K.</t>
  </si>
  <si>
    <t>Chondrules and rims in the least aqueously altered CM chondrite que 97990: Is this meteorite a primary accretionary rock?</t>
  </si>
  <si>
    <t>[Maeda, M.; Tomeoka, K.] Kobe Univ, Fac Sci, Dept Earth &amp; Planetary Sci, Kobe, Hyogo 6578501, Japan</t>
  </si>
  <si>
    <t>055s460s@stu.kobe-u.ac.jp</t>
  </si>
  <si>
    <t>WOS:000257683100152</t>
  </si>
  <si>
    <t>Makide, K; Nagashima, K; Krot, AN; Huss, GR; Hutcheon, ID; Bischoff, A</t>
  </si>
  <si>
    <t>Makide, K.; Nagashima, K.; Krot, A. N.; Huss, G. R.; Hutcheon, I. D.; Bischoff, A.</t>
  </si>
  <si>
    <t>Correlated measurements of oxygen and magnesium isotopes in CrCAIs: Constraints on the duration of CAI formation and evolution of oxygen isotopes in the inner solar nebula</t>
  </si>
  <si>
    <t>REFRACTORY INCLUSIONS; SYSTEM; AL-26; METEORITES</t>
  </si>
  <si>
    <t>[Makide, K.; Nagashima, K.; Krot, A. N.; Huss, G. R.] Univ Hawaii Manoa, HIGP, Honolulu, HI 96822 USA; [Hutcheon, I. D.] Lawrence Livermore Natl Lab, Livermore, CA USA; [Bischoff, A.] Univ Munster, Inst Planetol, D-4400 Munster, Germany</t>
  </si>
  <si>
    <t>University of Hawaii System; University of Hawaii Manoa; United States Department of Energy (DOE); Lawrence Livermore National Laboratory; University of Munster</t>
  </si>
  <si>
    <t>A88</t>
  </si>
  <si>
    <t>WOS:000257683100153</t>
  </si>
  <si>
    <t>Mardon, AA</t>
  </si>
  <si>
    <t>Mardon, A. A.</t>
  </si>
  <si>
    <t>Manito stone: Native cree beliefs of the iron Creek alberta, Canada iron meteorite</t>
  </si>
  <si>
    <t>[Mardon, A. A.] Antarctic Inst Canada, MPO, Edmonton, AB, Canada</t>
  </si>
  <si>
    <t>aamardon@yahoo.ca</t>
  </si>
  <si>
    <t>WOS:000257683100154</t>
  </si>
  <si>
    <t>Mardon, CA; Mardon, AA; Mardon, EG</t>
  </si>
  <si>
    <t>Mardon, C. A.; Mardon, A. A.; Mardon, E. G.</t>
  </si>
  <si>
    <t>Comet references by the venerable bede in historia ecclesiastica observed in 678 CE and 729 CE</t>
  </si>
  <si>
    <t>ccardon@yahoo.ca; aamardon@yahoo.ca</t>
  </si>
  <si>
    <t>A89</t>
  </si>
  <si>
    <t>WOS:000257683100155</t>
  </si>
  <si>
    <t>Marosits, E; Ott, U</t>
  </si>
  <si>
    <t>Marosits, E.; Ott, U.</t>
  </si>
  <si>
    <t>Investigating noble gases in pre-annealed meteoritical nanodiamonds</t>
  </si>
  <si>
    <t>DIAMOND; CHONDRITES; GRAPHITE</t>
  </si>
  <si>
    <t>[Marosits, E.; Ott, U.] Max Planck Inst Chem, Abt Geochem, D-55128 Mainz, Germany</t>
  </si>
  <si>
    <t>Max Planck Society</t>
  </si>
  <si>
    <t>marosits@mpch-mainz.mpg.de</t>
  </si>
  <si>
    <t>Ott, Ulrich/ABH-2337-2020</t>
  </si>
  <si>
    <t>WOS:000257683100156</t>
  </si>
  <si>
    <t>Martins, Z; Alexander, CMOD; Orzechowska, GE; Elsila, JE; Glavin, DP; Dworkin, JP; Sephton, MA; Ehrenfreund, P</t>
  </si>
  <si>
    <t>Martins, Z.; Alexander, C. M. O'D.; Orzechowska, G. E.; Elsila, J. E.; Glavin, D. P.; Dworkin, J. P.; Sephton, M. A.; Ehrenfreund, P.</t>
  </si>
  <si>
    <t>Amino acid composition of primitive CR2 chondrites</t>
  </si>
  <si>
    <t>[Martins, Z.; Sephton, M. A.] Univ London Imperial Coll Sci Technol &amp; Med, Dept Earth Sci &amp; Engn, London, England; [Alexander, C. M. O'D.] Carnegie Inst Washington, Dept Terr Magnetism, Washington, DC 20015 USA; [Orzechowska, G. E.] CALTECH, JPL, Pasadena, CA 91125 USA; [Elsila, J. E.; Glavin, D. P.; Dworkin, J. P.] NASA, Goddard Space Flight Ctr, Greenbelt, MD 20771 USA; [Ehrenfreund, P.] George Washington Univ, Elliott Sch Int Affairs, Inst Space Policy, Washington, DC 20052 USA</t>
  </si>
  <si>
    <t>Imperial College London; Carnegie Institution for Science; California Institute of Technology; National Aeronautics &amp; Space Administration (NASA); NASA Jet Propulsion Laboratory (JPL); National Aeronautics &amp; Space Administration (NASA); NASA Goddard Space Flight Center; George Washington University</t>
  </si>
  <si>
    <t>z.martins@imperial.ac.uk</t>
  </si>
  <si>
    <t>Elsila, Jamie/AAM-2654-2020; Dworkin, Jason P./C-9417-2012; Martins, Zita/H-4860-2015; Elsila, Jamie E/C-9952-2012; Glavin, Daniel P/D-6194-2012</t>
  </si>
  <si>
    <t>Dworkin, Jason P./0000-0002-3961-8997; Martins, Zita/0000-0002-5420-1081; Glavin, Daniel P/0000-0001-7779-7765</t>
  </si>
  <si>
    <t>A90</t>
  </si>
  <si>
    <t>WOS:000257683100157</t>
  </si>
  <si>
    <t>Marty, B; Zimmermann, L; Burnard, PG; Burnett, DL; Allton, JH; Wiens, RC; Heber, VS; Wieler, R; Bochsler, P; Sestak, S; Franchi, IA</t>
  </si>
  <si>
    <t>Marty, B.; Zimmermann, L.; Burnard, P. G.; Burnett, D. L.; Allton, J. H.; Wiens, R. C.; Heber, V. S.; Wieler, R.; Bochsler, P.; Sestak, S.; Franchi, I. A.</t>
  </si>
  <si>
    <t>Nitrogen isotopes in the recent solar wind: Further analysis of gold-plated concentrator frame from genesis</t>
  </si>
  <si>
    <t>[Marty, B.; Zimmermann, L.; Burnard, P. G.] Nancy Univ, CNRS, CRPG, Nancy, France; [Burnett, D. L.] CALTECH, Dept Geol Sci, Pasadena, CA 91125 USA; [Allton, J. H.] 2101 NASA Pkwy, Johnson Space Ctr, Houston, TX 77058 USA; [Wiens, R. C.] Los Alamos Natl Lab Space &amp; Atmospher Sci, Los Alamos, NM 87544 USA; [Heber, V. S.; Wieler, R.] Swiss Fed Inst Technol, Isotope Geol &amp; Mineral Resources, Zurich, Switzerland; Open Univ, Planetary &amp; Space Sci Res Inst, Milton Keynes MK7 6AA, Bucks, England</t>
  </si>
  <si>
    <t>Universite de Lorraine; Centre National de la Recherche Scientifique (CNRS); California Institute of Technology; National Aeronautics &amp; Space Administration (NASA); NASA Johnson Space Center; Swiss Federal Institutes of Technology Domain; ETH Zurich; Open University - UK</t>
  </si>
  <si>
    <t>bmarty@crpg.cnrs-nancy.fr</t>
  </si>
  <si>
    <t>Wieler, Rainer/A-1355-2010</t>
  </si>
  <si>
    <t>WOS:000257683100158</t>
  </si>
  <si>
    <t>Maruyama, S; Kunihiro, T; Nakamura, E</t>
  </si>
  <si>
    <t>Maruyama, S.; Kunihiro, T.; Nakamura, E.</t>
  </si>
  <si>
    <t>A hercynite-rich inclusion in the vigarano CV3 chondrite</t>
  </si>
  <si>
    <t>[Maruyama, S.; Kunihiro, T.; Nakamura, E.] Okayama Univ, Pheasant Mem Lab, Inst Study Earths Interior, Okayama 7008530, Japan</t>
  </si>
  <si>
    <t>Okayama University</t>
  </si>
  <si>
    <t>maruyama@misasa.okayama-u.ac.jp</t>
  </si>
  <si>
    <t>Kunihiro, Tak/B-1896-2011</t>
  </si>
  <si>
    <t>A91</t>
  </si>
  <si>
    <t>WOS:000257683100159</t>
  </si>
  <si>
    <t>Mathieu, R; Libourel, G; Deloule, E</t>
  </si>
  <si>
    <t>Mathieu, R.; Libourel, G.; Deloule, E.</t>
  </si>
  <si>
    <t>Sodium solubility in molten synthetic chondrules</t>
  </si>
  <si>
    <t>[Mathieu, R.; Libourel, G.; Deloule, E.] Nancy Univ, CRPG, INSU CNRS, UPR 2300, F-54501 Vandoeuvre Les Nancy, France; [Libourel, G.] Nancy Univ, ENSG, F-54500 Vandoeuvre Les Nancy, France</t>
  </si>
  <si>
    <t>Universite de Lorraine; Centre National de la Recherche Scientifique (CNRS); CNRS - National Institute for Earth Sciences &amp; Astronomy (INSU); Universite de Lorraine</t>
  </si>
  <si>
    <t>rmathieu@crpg.cnrs-nancy.fr</t>
  </si>
  <si>
    <t>WOS:000257683100160</t>
  </si>
  <si>
    <t>Matsuda, J; Tsukamoto, H; Miyakawa, C; Amari, S</t>
  </si>
  <si>
    <t>Matsuda, J.; Tsukamoto, H.; Miyakawa, C.; Amari, S.</t>
  </si>
  <si>
    <t>Noble gas study of the saratov chondrite (L4)</t>
  </si>
  <si>
    <t>[Matsuda, J.; Tsukamoto, H.; Miyakawa, C.] Osaka Univ, Grad Sch Sci, Dept Earth &amp; Space Sci, Osaka 5600043, Japan; [Amari, S.] Washington Univ, Dept Phys, St Louis, MO 63130 USA; [Amari, S.] Washington Univ, Space Sci Lab, St Louis, MO 63130 USA</t>
  </si>
  <si>
    <t>Osaka University; Washington University (WUSTL); Washington University (WUSTL)</t>
  </si>
  <si>
    <t>matsuda@ess.sci.osaka-u.ac.jp</t>
  </si>
  <si>
    <t>A92</t>
  </si>
  <si>
    <t>WOS:000257683100161</t>
  </si>
  <si>
    <t>Matsuda, S; Nakashima, D; Mikouchi, T; Nagao, K</t>
  </si>
  <si>
    <t>Matsuda, S.; Nakashima, D.; Mikouchi, T.; Nagao, K.</t>
  </si>
  <si>
    <t>Noble gas study of ungrouped achondrite GRA 06129</t>
  </si>
  <si>
    <t>[Matsuda, S.; Nakashima, D.; Nagao, K.] Univ Tokyo, Earthquake Chem Lab, Bunkyo Ku, Tokyo 1130033, Japan; [Mikouchi, T.] Univ Tokyo, Dept Earth &amp; Planetary Sci, Bunkyo Ku, Tokyo 1130033, Japan</t>
  </si>
  <si>
    <t>matsuda@eqchem.s.u-tokyo.ac.jp</t>
  </si>
  <si>
    <t>WOS:000257683100162</t>
  </si>
  <si>
    <t>Maurette, M</t>
  </si>
  <si>
    <t>Maurette, M.</t>
  </si>
  <si>
    <t>Micrometeorite constraints on the sources of the sporadic meteoroid cloud</t>
  </si>
  <si>
    <t>[Maurette, M.] CSNSM, F-91405 Orsay, France</t>
  </si>
  <si>
    <t>Universite Paris Saclay</t>
  </si>
  <si>
    <t>maurette@csnsm.in2p3.fr</t>
  </si>
  <si>
    <t>A93</t>
  </si>
  <si>
    <t>WOS:000257683100163</t>
  </si>
  <si>
    <t>Mayne, RG; McCoy, TJ; Sunshine, JM; McSween, HY</t>
  </si>
  <si>
    <t>Mayne, R. G.; McCoy, T. J.; Sunshine, J. M.; McSween, H. Y., Jr.</t>
  </si>
  <si>
    <t>SPECTROLOGY of the unbrecciated eucrites: The link between petrology and spectra</t>
  </si>
  <si>
    <t>[Mayne, R. G.; McCoy, T. J.] Smithsonian Inst, Washington, DC 20560 USA; [Sunshine, J. M.] Univ Maryland, College Pk, MD 20742 USA; [McSween, H. Y., Jr.] Univ Tennessee, Knoxville, TN 37996 USA</t>
  </si>
  <si>
    <t>Smithsonian Institution; University System of Maryland; University of Maryland College Park; University of Tennessee System; University of Tennessee Knoxville</t>
  </si>
  <si>
    <t>WOS:000257683100164</t>
  </si>
  <si>
    <t>McAdam, AC; Hoffman, EJ; Coleman, A; Sharp, TG; Harvey, RP</t>
  </si>
  <si>
    <t>McAdam, A. C.; Hoffman, E. J.; Coleman, A., Jr.; Sharp, T. G.; Harvey, R. P.</t>
  </si>
  <si>
    <t>Iron oxides in ferrar dolerite weathering products (Martian soil analogs)</t>
  </si>
  <si>
    <t>[McAdam, A. C.; Sharp, T. G.] Arizona State Univ, Sch Earth &amp; Space Explorat, Tempe, AZ 85287 USA; [Hoffman, E. J.; Coleman, A., Jr.] Morgan State Univ, Dept Phys, Baltimore, MD 21239 USA; [Harvey, R. P.] Case Western Reserve Univ, Dept Geol Sci, Cleveland, OH 44106 USA</t>
  </si>
  <si>
    <t>Arizona State University; Arizona State University-Tempe; Morgan State University; University System of Ohio; Case Western Reserve University</t>
  </si>
  <si>
    <t>amcadam@asu.edu; eugene.hoffman@morgan.edu</t>
  </si>
  <si>
    <t>McAdam, Amy/E-1556-2012</t>
  </si>
  <si>
    <t>McAdam, Amy/0000-0001-9120-2991</t>
  </si>
  <si>
    <t>A94</t>
  </si>
  <si>
    <t>WOS:000257683100165</t>
  </si>
  <si>
    <t>Mccoy, TJ; Corrigan, CM; Yang, J; Goldstein, JI</t>
  </si>
  <si>
    <t>McCoy, T. J.; Corrigan, C. M.; Yang, J.; Goldstein, J. I.</t>
  </si>
  <si>
    <t>How do high-Ni irons form?</t>
  </si>
  <si>
    <t>[McCoy, T. J.; Corrigan, C. M.] Smithsonian Inst, Dept Mineral Sci, Washington, DC 20560 USA; [Yang, J.; Goldstein, J. I.] Univ Massachusetts, Amherst, MA 01003 USA</t>
  </si>
  <si>
    <t>Smithsonian Institution; Smithsonian National Museum of Natural History; University of Massachusetts System; University of Massachusetts Amherst</t>
  </si>
  <si>
    <t>WOS:000257683100166</t>
  </si>
  <si>
    <t>Mckay, DS; Wentworth, SJ; Thomas-Keprta, KL; Clemett, SJ</t>
  </si>
  <si>
    <t>McKay, D. S.; Wentworth, S. J.; Thomas-Keprta, K. L.; Clemett, S. J.</t>
  </si>
  <si>
    <t>Complex nanostratigraphy of volcanic surface coatings on apollo 15 green pyroclastic glass beads</t>
  </si>
  <si>
    <t>[McKay, D. S.] NASA, Lyndon B Johnson Space Ctr, Houston, TX 77058 USA; [Wentworth, S. J.; Thomas-Keprta, K. L.; Clemett, S. J.] NASA, JSC, Mail Code JE23, ESC Grp, Houston, TX 77058 USA</t>
  </si>
  <si>
    <t>National Aeronautics &amp; Space Administration (NASA); NASA Johnson Space Center; National Aeronautics &amp; Space Administration (NASA); NASA Johnson Space Center</t>
  </si>
  <si>
    <t>David.S.McKay@nasa.gov</t>
  </si>
  <si>
    <t>A95</t>
  </si>
  <si>
    <t>WOS:000257683100167</t>
  </si>
  <si>
    <t>McKibbin, SJ; Avila, JN; Ireland, TR; Holden, P; O'Neill, HSC</t>
  </si>
  <si>
    <t>McKibbin, S. J.; Avila, J. N.; Ireland, T. R.; Holden, P.; O'Neill, H. St. C.</t>
  </si>
  <si>
    <t>Isotopic compositions and systematics of early solar system and presolar materials: An evaluation of matrix effects and mass interferences</t>
  </si>
  <si>
    <t>COSMOCHEMISTRY; GEOCHEMISTRY</t>
  </si>
  <si>
    <t>Australian Natl Univ, Res Sch Earth Sci, Canberra, ACT 0200, Australia; Australian Natl Univ, Planetary Sci Inst, Canberra, ACT 0200, Australia</t>
  </si>
  <si>
    <t>Australian National University; Australian National University</t>
  </si>
  <si>
    <t>seann.mckibbin@anu.edu.au; janaina.avila@anu.edu.au</t>
  </si>
  <si>
    <t>O'Neill, Hugh S/G-2302-2011; Ireland, Trevor R/A-4993-2008; Ireland, Trevor R./GSJ-1884-2022</t>
  </si>
  <si>
    <t>Ireland, Trevor R/0000-0001-7617-3889;</t>
  </si>
  <si>
    <t>WOS:000257683100168</t>
  </si>
  <si>
    <t>McKibbin, SJ; Ireland, TR; Amelin, Y; O'Neill, HSC; Holden, P</t>
  </si>
  <si>
    <t>McKibbin, S. J.; Ireland, T. R.; Amelin, Y.; O'Neill, H. St. C.; Holden, P.</t>
  </si>
  <si>
    <t>A new ion-probe determination of 53Mn/55Mn in D'orbigny and sahara 99555 using matrix-matched standards</t>
  </si>
  <si>
    <t>ANGRITE</t>
  </si>
  <si>
    <t>[McKibbin, S. J.; Ireland, T. R.; Amelin, Y.; O'Neill, H. St. C.; Holden, P.] Australian Natl Univ, Res Sch Earth Sci, Canberra, ACT 0200, Australia</t>
  </si>
  <si>
    <t>Australian National University</t>
  </si>
  <si>
    <t>seann.mckibbin@anu.edu.au</t>
  </si>
  <si>
    <t>Ireland, Trevor R./GSJ-1884-2022; O'Neill, Hugh S/G-2302-2011; Ireland, Trevor R/A-4993-2008</t>
  </si>
  <si>
    <t>Ireland, Trevor R/0000-0001-7617-3889</t>
  </si>
  <si>
    <t>A96</t>
  </si>
  <si>
    <t>WOS:000257683100169</t>
  </si>
  <si>
    <t>Mendybaev, RA; Richter, FM; Georg, RB; Davis, AM</t>
  </si>
  <si>
    <t>Mendybaev, R. A.; Richter, F. M.; Georg, R. B.; Davis, A. M.</t>
  </si>
  <si>
    <t>Evolution of chemical and isotopic compositions of forsterite-rich melts during evaporation</t>
  </si>
  <si>
    <t>[Davis, A. M.] Univ Chicago, Enrico Fermi Inst, Chicago, IL 60637 USA; [Georg, R. B.] Univ Chicago, Enrico Fermi Inst, Chicago, IL 60637 USA</t>
  </si>
  <si>
    <t>University of Chicago; University of Chicago</t>
  </si>
  <si>
    <t>ramendyb@uchicago.edu</t>
  </si>
  <si>
    <t>WOS:000257683100170</t>
  </si>
  <si>
    <t>Messenger, S; Ito, M; Joswiak, DJ; Keller, LP; Stroud, RM; Nakamura-Messenger, K; Matrajt, G; Brownlee, DE</t>
  </si>
  <si>
    <t>Messenger, S.; Ito, M.; Joswiak, D. J.; Keller, L. P.; Stroud, R. M.; Nakamura-Messenger, K.; Matrajt, G.; Brownlee, D. E.</t>
  </si>
  <si>
    <t>Oxygen isotopic compositions of wild 2 silicates</t>
  </si>
  <si>
    <t>[Messenger, S.; Ito, M.; Keller, L. P.; Nakamura-Messenger, K.] NASA, JSC, ARES, Robert M Walker Lab Space Sci, Houston, TX USA; [Joswiak, D. J.; Matrajt, G.; Brownlee, D. E.] Univ Washington, Dept Astron, Seattle, WA 98195 USA; [Stroud, R. M.] USN, Res Lab, Div Mat Sci &amp; Technol, Washington, DC 20375 USA; [Nakamura-Messenger, K.] NASA, JSC, ESCG, Houston, TX USA</t>
  </si>
  <si>
    <t>National Aeronautics &amp; Space Administration (NASA); NASA Johnson Space Center; University of Washington; University of Washington Seattle; United States Department of Defense; United States Navy; Naval Research Laboratory; National Aeronautics &amp; Space Administration (NASA); NASA Johnson Space Center</t>
  </si>
  <si>
    <t>scott.r.messenger@nasa.gov</t>
  </si>
  <si>
    <t>Stroud, Rhonda M./C-5503-2008; Stroud, Rhonda M/S-4584-2018; Matrajt, Graciela/A-4812-2017; Stroud, Rhonda/GQZ-0151-2022</t>
  </si>
  <si>
    <t>Stroud, Rhonda M/0000-0001-5242-8015; Stroud, Rhonda/0000-0001-5242-8015</t>
  </si>
  <si>
    <t>A97</t>
  </si>
  <si>
    <t>WOS:000257683100171</t>
  </si>
  <si>
    <t>Miao, B; Lin, Y</t>
  </si>
  <si>
    <t>Miao, B.; Lin, Y.</t>
  </si>
  <si>
    <t>Grove mountains meteorites: survey, collection, and concentration mechanics</t>
  </si>
  <si>
    <t>[Miao, B.] Guilin Univ Technol, Key Lab Geol Engn Ctr Guangxi Prov, Guilin 541004, Peoples R China; [Miao, B.; Lin, Y.] CAS, Inst Geol &amp; Geophys, Key Lab Earths Deep Interior, Beijing, Peoples R China</t>
  </si>
  <si>
    <t>Guilin University of Technology; Chinese Academy of Sciences; Institute of Geology &amp; Geophysics, CAS</t>
  </si>
  <si>
    <t>miaobk@glite.edu.cn</t>
  </si>
  <si>
    <t>A186</t>
  </si>
  <si>
    <t>WOS:000257683100348</t>
  </si>
  <si>
    <t>Miao, B; Lin, Y; Wang, D; Hu, S; Shen, W; Wang, X</t>
  </si>
  <si>
    <t>Miao, B.; Lin, Y.; Wang, D.; Hu, S.; Shen, W.; Wang, X.</t>
  </si>
  <si>
    <t>Grove mountains (GRV) 052382-likely a most heavily shocked ureilite</t>
  </si>
  <si>
    <t>[Miao, B.; Wang, X.] Guilin Univ Technol, Key Lab Geol Engn Ctr Guangxi Prov, Guilin 541004, Peoples R China; [Miao, B.; Lin, Y.; Hu, S.; Shen, W.] CAS, Inst Geol &amp; Geophys, Key Lab Earths Deep Interior, Beijing, Peoples R China; [Wang, D.] Guangzhou Inst Geochem, Guangzhou, Guangdong, Peoples R China</t>
  </si>
  <si>
    <t>Guilin University of Technology; Chinese Academy of Sciences; Institute of Geology &amp; Geophysics, CAS; Chinese Academy of Sciences; Guangzhou Institute of Geochemistry, CAS</t>
  </si>
  <si>
    <t>WOS:000257683100172</t>
  </si>
  <si>
    <t>Mihályi, K; Gucsik, A</t>
  </si>
  <si>
    <t>Mihalyi, K.; Gucsik, A.</t>
  </si>
  <si>
    <t>Distributions of the terrestrial meteorite craters:: A review</t>
  </si>
  <si>
    <t>[Mihalyi, K.] Univ Debrecen, Dept Phys Geog &amp; Geoinformat, H-4010 Debrecen, Hungary; [Gucsik, A.] Max Planck Inst Chem, Dept Geochem, D-55128 Mainz, Germany; [Gucsik, A.] Savaria Univ Ctr, Dept Phys Geog, H-9700 Szombathely, Hungary</t>
  </si>
  <si>
    <t>University of Debrecen; Max Planck Society</t>
  </si>
  <si>
    <t>k.mihalyi@freemail.hu</t>
  </si>
  <si>
    <t>A98</t>
  </si>
  <si>
    <t>WOS:000257683100173</t>
  </si>
  <si>
    <t>Mikouchi, T</t>
  </si>
  <si>
    <t>Mikouchi, T.</t>
  </si>
  <si>
    <t>Petrographic and chemical variation of lherzolitic shergottites and implications for the classification of shergottites</t>
  </si>
  <si>
    <t>[Mikouchi, T.] Univ Tokyo, Dept Earth &amp; Planetary Sci, Tokyo 1130033, Japan</t>
  </si>
  <si>
    <t>mikouchi@eps.s.u-tokyo.ac.jp</t>
  </si>
  <si>
    <t>WOS:000257683100349</t>
  </si>
  <si>
    <t>Mikouchi, T; Mckay, G; Jones, J</t>
  </si>
  <si>
    <t>Mikouchi, T.; McKay, G.; Jones, J.</t>
  </si>
  <si>
    <t>Petrogenesis and crystallization history of quenched angrites</t>
  </si>
  <si>
    <t>PETROLOGY; ORIGIN</t>
  </si>
  <si>
    <t>[Mikouchi, T.] Univ Tokyo, Dept Earth &amp; Planetary Sci, Tokyo 1130033, Japan; [McKay, G.; Jones, J.] NASA, Lyndon B Johnson Space Ctr, Mail Code KR, Houston, TX 77058 USA</t>
  </si>
  <si>
    <t>McKay, Gareth/HNJ-3797-2023; Mikouchi, Takashi/AAY-7355-2021</t>
  </si>
  <si>
    <t>WOS:000257683100174</t>
  </si>
  <si>
    <t>Misawa, K; Park, J; Shih, CY; Reese, Y; Bogard, DD; Nyquist, LE</t>
  </si>
  <si>
    <t>Misawa, K.; Park, J.; Shih, C. -Y.; Reese, Y.; Bogard, D. D.; Nyquist, L. E.</t>
  </si>
  <si>
    <t>Martian metasomatic and/or alteration components preserved in maskelynitized plagioclase in shergottites?</t>
  </si>
  <si>
    <t>PETROGENESIS; CONSTRAINTS</t>
  </si>
  <si>
    <t>[Misawa, K.] Natl Inst Polar Res, Antarctic Meteorite Res Ctr, Tokyo 1738515, Japan; [Park, J.; Bogard, D. D.] NASA, Lyndon B Johnson Space Ctr, Houston, TX 77058 USA; [Shih, C. -Y.] ESCG Jacobs Sverdrup, Houston, TX 77058 USA; [Reese, Y.] ESCG Muniz Engn, Houston, TX 77058 USA</t>
  </si>
  <si>
    <t>Research Organization of Information &amp; Systems (ROIS); National Institute of Polar Research (NIPR) - Japan; National Aeronautics &amp; Space Administration (NASA); NASA Johnson Space Center</t>
  </si>
  <si>
    <t>misawa@nipr.ac.jp</t>
  </si>
  <si>
    <t>A99</t>
  </si>
  <si>
    <t>WOS:000257683100175</t>
  </si>
  <si>
    <t>Mishra, RK; Goswami, JN</t>
  </si>
  <si>
    <t>Mishra, R. K.; Goswami, J. N.</t>
  </si>
  <si>
    <t>Fe-Ni and Al-Mg isotope systematics in chondrules from Semarkona (LL3.0) and LEW 86314 (L3.0)</t>
  </si>
  <si>
    <t>FE-60</t>
  </si>
  <si>
    <t>[Mishra, R. K.; Goswami, J. N.] Phys Res Lab, Ahmadabad 380009, Gujarat, India</t>
  </si>
  <si>
    <t>Department of Space (DoS), Government of India; Physical Research Laboratory - India</t>
  </si>
  <si>
    <t>ritesh@prl.res.in</t>
  </si>
  <si>
    <t>MISHRA, RITESH KUMAR/0000-0003-3073-1245</t>
  </si>
  <si>
    <t>WOS:000257683100176</t>
  </si>
  <si>
    <t>Mittlefehldt, DW</t>
  </si>
  <si>
    <t>Mittlefehldt, D. W.</t>
  </si>
  <si>
    <t>Petrology and geochemistry of antarctic eucrites and diogenites, and A-881394</t>
  </si>
  <si>
    <t>[Mittlefehldt, D. W.] NASA, Lyndon B Johnson Space Ctr, Houston, TX 77058 USA</t>
  </si>
  <si>
    <t>david.w.mittlefehldt@nasa.gov</t>
  </si>
  <si>
    <t>Mittlefehldt, David/JUV-2877-2023</t>
  </si>
  <si>
    <t>A187</t>
  </si>
  <si>
    <t>WOS:000257683100350</t>
  </si>
  <si>
    <t>Mittlefehldt, DW; Herrin, JS</t>
  </si>
  <si>
    <t>Mittlefehldt, David W.; Herrin, Jason S.</t>
  </si>
  <si>
    <t>Petrology and geochemistry of martian meteorites LAR 06319, RBT 04261, and RBT 04262</t>
  </si>
  <si>
    <t>[Mittlefehldt, David W.; Herrin, Jason S.] NASA, Lyndon B Johnson Space Ctr, Washington, DC 20546 USA</t>
  </si>
  <si>
    <t>A100</t>
  </si>
  <si>
    <t>WOS:000257683100177</t>
  </si>
  <si>
    <t>Miura, H; Yokoyama, E; Tsukamoto, K; Nagashima, K</t>
  </si>
  <si>
    <t>Miura, H.; Yokoyama, E.; Tsukamoto, K.; Nagashima, K.</t>
  </si>
  <si>
    <t>Dynamic crystallization simulation of barred olivine textures</t>
  </si>
  <si>
    <t>CHONDRULES; SOLIDIFICATION; REPRODUCTION</t>
  </si>
  <si>
    <t>[Miura, H.; Tsukamoto, K.] Tohoku Univ, Sendai, Miyagi 980, Japan; [Yokoyama, E.] Gakushuin Univ, Tokyo 171, Japan; [Nagashima, K.] Osaka Univ, Suita, Osaka 565, Japan</t>
  </si>
  <si>
    <t>Tohoku University; Gakushuin University; Osaka University</t>
  </si>
  <si>
    <t>miurah@ganko.tohoku.ac.jp</t>
  </si>
  <si>
    <t>Tsukamoto, Katsuo/AAG-2157-2021</t>
  </si>
  <si>
    <t>WOS:000257683100178</t>
  </si>
  <si>
    <t>Miura, Y</t>
  </si>
  <si>
    <t>Miura, Y.</t>
  </si>
  <si>
    <t>Rosettes textures with meteoritic elements in some Japanese meteorites</t>
  </si>
  <si>
    <t>[Miura, Y.] Yamaguchi Univ, Grad Sch Sci &amp; Engn, Div Earth Sci, Yamaguchi 7538512, Japan</t>
  </si>
  <si>
    <t>Yamaguchi University</t>
  </si>
  <si>
    <t>yasmiura@yamaguchi-u.acjp</t>
  </si>
  <si>
    <t>A101</t>
  </si>
  <si>
    <t>WOS:000257683100180</t>
  </si>
  <si>
    <t>Formation of spherule-chained texture by shocked KUGA meteorite in air</t>
  </si>
  <si>
    <t>WOS:000257683100179</t>
  </si>
  <si>
    <t>Miura, YN</t>
  </si>
  <si>
    <t>Miura, Y. N.</t>
  </si>
  <si>
    <t>Noble gas studies of eucrites, diogenites, and some other achondrites</t>
  </si>
  <si>
    <t>[Miura, Y. N.] Univ Tokyo, Earthquake Res Inst, Bunkyo Ku, Tokyo 1130032, Japan</t>
  </si>
  <si>
    <t>A102</t>
  </si>
  <si>
    <t>WOS:000257683100181</t>
  </si>
  <si>
    <t>Miyahara, M; Kimura, M; Ohtani, E; El Goresy, A; Ozawa, S; Nagase, T; Nishijima, M</t>
  </si>
  <si>
    <t>Miyahara, M.; Kimura, M.; Ohtani, E.; El Goresy, A.; Ozawa, S.; Nagase, T.; Nishijima, M.</t>
  </si>
  <si>
    <t>Further evidence for ubiquitous fractional crystallization of wadsleyite and ringwoodite from olivine melt</t>
  </si>
  <si>
    <t>[Miyahara, M.; Ohtani, E.; Ozawa, S.] Tohoku Univ, Grad Sch Sci, Sendai, Miyagi 9808758, Japan; [Kimura, M.] Ibaraki Univ, Fac Sci, Mito, Ibaraki 3108512, Japan; [El Goresy, A.] Univ Bayreuth, Bayer Geoinst, D-95447 Bayreuth, Germany; [Nagase, T.] Tohoku Univ Museum, Sendai, Miyagi 9808758, Japan; [Nishijima, M.] Tohoku Univ, Inst Mat Res, Sendai, Miyagi 9808758, Japan</t>
  </si>
  <si>
    <t>Tohoku University; Ibaraki University; University of Bayreuth; Tohoku University; Tohoku University</t>
  </si>
  <si>
    <t>miyahara@ganko.tohoku.ac.jp</t>
  </si>
  <si>
    <t>Nishijima, Masahiko/B-2094-2015; Ozawa, Shin/AAF-5344-2019; Miyahara, Masaaki/AAP-9679-2020; Ohtani, Eiji/AAD-8011-2019; Miyahara, Masaaki/AAQ-6557-2020</t>
  </si>
  <si>
    <t>WOS:000257683100182</t>
  </si>
  <si>
    <t>Miyamoto, M; Mikouchi, T; Jones, RH</t>
  </si>
  <si>
    <t>Miyamoto, M.; Mikouchi, T.; Jones, R. H.</t>
  </si>
  <si>
    <t>A model to calculate the cooling rate by Fe-Mg diffusional calculation during olivine crystal growth</t>
  </si>
  <si>
    <t>[Miyamoto, M.; Mikouchi, T.] Univ Tokyo, Tokyo 1130033, Japan; [Jones, R. H.] Univ New Mexico, Dept Earth &amp; Planetary Sci, Albuquerque, NM 87131 USA</t>
  </si>
  <si>
    <t>University of Tokyo; University of New Mexico</t>
  </si>
  <si>
    <t>miyamoto@eps.s.u-tokyo.acjp</t>
  </si>
  <si>
    <t>Mikouchi, Takashi/AAY-7355-2021; Jones, Rhian/ABI-6612-2020</t>
  </si>
  <si>
    <t>A103</t>
  </si>
  <si>
    <t>WOS:000257683100183</t>
  </si>
  <si>
    <t>Moggi-Cecchi, V; Pratesi, G; Di Martino, M; Franchi, IA; Greenwood, RC</t>
  </si>
  <si>
    <t>Moggi-Cecchi, V.; Pratesi, G.; Di Martino, M.; Franchi, I. A.; Greenwood, R. C.</t>
  </si>
  <si>
    <t>NWA 5134: A new eucrite from Saharawi region</t>
  </si>
  <si>
    <t>[Moggi-Cecchi, V.] Museo Sci Planetarie, I-59100 Prato, Italy; [Pratesi, G.] Univ Florence, Dipartimento Sci Terra, I-50121 Florence, Italy; [Di Martino, M.] Osserv Astron Torino, INAF, I-10025 Pino Torinese, Italy; [Franchi, I. A.; Greenwood, R. C.] Open Univ, Planetary &amp; Space Sci Res Inst, Milton Keynes MK7 6AA, Bucks, England</t>
  </si>
  <si>
    <t>University of Florence; Istituto Nazionale Astrofisica (INAF); University of Turin; Open University - UK</t>
  </si>
  <si>
    <t>v.moggi@pratoricerche.it; g.pratesi@unifi.it</t>
  </si>
  <si>
    <t>Pratesi, Giovanni/AAB-2335-2021</t>
  </si>
  <si>
    <t>Pratesi, Giovanni/0000-0001-6329-901X</t>
  </si>
  <si>
    <t>WOS:000257683100184</t>
  </si>
  <si>
    <t>Morlok, A; Libourel, G</t>
  </si>
  <si>
    <t>Morlok, A.; Libourel, G.</t>
  </si>
  <si>
    <t>Alteration of metal in CR2 chondrites: An analogue for long-term corrosion processes</t>
  </si>
  <si>
    <t>[Morlok, A.; Libourel, G.] Nancy Univ, CRPG, INSU CNRS, UPR2300, F-54501 Vandoeuvre Les Nancy, France; [Morlok, A.] ANDRA DS CM, F-92298 Chatenay Malabry, France; [Libourel, G.] Nancy Univ, ENSG, F-54500 Vandoeuvre Les Nancy, France</t>
  </si>
  <si>
    <t>Centre National de la Recherche Scientifique (CNRS); CNRS - National Institute for Earth Sciences &amp; Astronomy (INSU); Universite de Lorraine; Universite de Lorraine</t>
  </si>
  <si>
    <t>amorlok@crpg.cnrs-nancy.fr</t>
  </si>
  <si>
    <t>A104</t>
  </si>
  <si>
    <t>WOS:000257683100186</t>
  </si>
  <si>
    <t>Alteration in CR chondrites: An analogue for the long term storage of nuclear waste</t>
  </si>
  <si>
    <t>WOS:000257683100185</t>
  </si>
  <si>
    <t>Munayco, P; Valenzuela, EM; Scorzelli, RB; de Campos, JB; Avillez, RR; Rochette, P; Gattacceca, J; Suavet, C; Denise, M; Morata, D</t>
  </si>
  <si>
    <t>Munayco, P.; Valenzuela, E. M.; Scorzelli, R. B.; de Campos, J. B.; Avillez, R. R.; Rochette, P.; Gattacceca, J.; Suavet, C.; Denise, M.; Morata, D.</t>
  </si>
  <si>
    <t>Room- and low-temperature Mossbauer spectroscopy for ordinary chondrites from the San Juan Strewn field at the Atacama Desert (Chile)</t>
  </si>
  <si>
    <t>[Valenzuela, E. M.; Morata, D.] Univ Chile, Dept Geol, Santiago, Chile; [Avillez, R. R.] Pontificia Univ Catolica Rio de Janeiro, Dept Ciencia Mat &amp; Met, Rio de Janeiro, Brazil; [Rochette, P.; Gattacceca, J.; Suavet, C.] Univ Aix Marseille, CNRS, CEREGE, Aix En Provence, France; [Denise, M.] MNHN Paris, Paris, France</t>
  </si>
  <si>
    <t>Universidad de Chile; Pontificia Universidade Catolica do Rio de Janeiro; Aix-Marseille Universite; Centre National de la Recherche Scientifique (CNRS); Museum National d'Histoire Naturelle (MNHN)</t>
  </si>
  <si>
    <t>scorza@cbpf.br; mpabIo@cbpf.br</t>
  </si>
  <si>
    <t>Gattacceca, Jerome/AAG-5651-2019; de Campos, Jose Brant/L-3932-2018; Munayco, Pablo/H-8193-2012; Munayco, Pablo/AAG-6508-2019; Scorzelli, Rosa/AAU-6837-2021; de Avillez, Roberto Ribeiro/A-2592-2010; Morata, Diego/G-4871-2016</t>
  </si>
  <si>
    <t>Gattacceca, Jerome/0000-0002-1639-7140; Munayco, Pablo/0000-0003-0961-4626; Munayco, Pablo/0000-0003-0961-4626; de Avillez, Roberto Ribeiro/0000-0002-2192-1082; Morata, Diego/0000-0002-9751-2429</t>
  </si>
  <si>
    <t>A105</t>
  </si>
  <si>
    <t>WOS:000257683100187</t>
  </si>
  <si>
    <t>Murakami, S; Kato, K; Fujikawa, N; Terada, K; Yoneda, S; Arai, S; Hidaka, H; Okada, A; Nagao, K; Park, J; Ebisawa, N; Kusakabe, M</t>
  </si>
  <si>
    <t>Murakami, S.; Kato, K.; Fujikawa, N.; Terada, K.; Yoneda, S.; Arai, S.; Hidaka, H.; Okada, A.; Nagao, K.; Park, J.; Ebisawa, N.; Kusakabe, M.</t>
  </si>
  <si>
    <t>Comprehensive studies of the Hiroshima H chondrite</t>
  </si>
  <si>
    <t>[Murakami, S.; Kato, K.; Fujikawa, N.] Hiroshima Childrens Museum, Naka Ku, Hiroshima 7300011, Japan; [Terada, K.; Arai, S.; Hidaka, H.] Hiroshima Univ, Dept Earth &amp; Planetary Syst Sci, Higashihiroshima 7398526, Japan; [Yoneda, S.] Univ Tokyo, Nat Museum Nat &amp; Sci, Shinjuku Ku, Tokyo 1690073, Japan; [Okada, A.] RIKEN, Wako, Saitama 3510198, Japan; [Nagao, K.; Ebisawa, N.] Univ Tokyo, Grad Sch Sci, Earthquake Chem Lab, Bunkyo Ku, Tokyo 1130033, Japan; [Park, J.] NASA, Lyndon B Johnson Space Ctr, Code KR, ARES, Houston, TX 77058 USA; [Kusakabe, M.] Korea Polar Res Inst, Inchon, South Korea</t>
  </si>
  <si>
    <t>Hiroshima University; University of Tokyo; RIKEN; University of Tokyo; National Aeronautics &amp; Space Administration (NASA); NASA Johnson Space Center; Korea Polar Research Institute (KOPRI); Korea Institute of Ocean Science &amp; Technology (KIOST)</t>
  </si>
  <si>
    <t>murakami@pyonta.city.hiroshimajp; terada@sci.hiroshima-u.ae.jp</t>
  </si>
  <si>
    <t>Kusakabe, Minoru/Q-3258-2019; Terada, Kentaro/AAN-5930-2021; Hidaka, Hiroshi/AAJ-5603-2021</t>
  </si>
  <si>
    <t>WOS:000257683100188</t>
  </si>
  <si>
    <t>Murty, SVS; Mahajan, RR; Goel, S; Dutt, K; Dhote, PS</t>
  </si>
  <si>
    <t>Murty, S. V. S.; Mahajan, R. R.; Goel, Suruchi; Dutt, Krishnan; Dhote, P. S.</t>
  </si>
  <si>
    <t>Solar gases in Kavarpura iron meteorite</t>
  </si>
  <si>
    <t>RAY-PRODUCED NUCLIDES; NOBLE-GASES</t>
  </si>
  <si>
    <t>[Murty, S. V. S.; Mahajan, R. R.; Goel, Suruchi] Phys Res Lab, Ahmadabad 380009, Gujarat, India; [Dutt, Krishnan; Dhote, P. S.] Geol Survey India, Jaipur, Rajasthan, India</t>
  </si>
  <si>
    <t>Department of Space (DoS), Government of India; Physical Research Laboratory - India; Geological Survey India</t>
  </si>
  <si>
    <t>A106</t>
  </si>
  <si>
    <t>WOS:000257683100189</t>
  </si>
  <si>
    <t>Nagahara, H; Ozawa, K</t>
  </si>
  <si>
    <t>Nagahara, H.; Ozawa, K.</t>
  </si>
  <si>
    <t>Genetic relationships among types of CAIs and chondrules</t>
  </si>
  <si>
    <t>[Nagahara, H.; Ozawa, K.] Univ Tokyo, Dept Earth Planet Sci, Tokyo 1138654, Japan</t>
  </si>
  <si>
    <t>hiroko@eps.s.u-tokyo.ac.jp</t>
  </si>
  <si>
    <t>WOS:000257683100190</t>
  </si>
  <si>
    <t>Nagao, K; Park, J</t>
  </si>
  <si>
    <t>Nagao, K.; Park, J.</t>
  </si>
  <si>
    <t>Noble gases and cosmic-ray exposure ages of two martian shergottites, RBT 04262 and LAR 06319, recovered in Antarctica</t>
  </si>
  <si>
    <t>[Nagao, K.] Univ Tokyo, Grad Sch Sci, Earthquake Chem Lab, Bunkyo Ku, Tokyo 1130033, Japan; [Park, J.] NASA, Lyndon B Johnson Space Ctr, Code KR, ARES, Houston, TX 77058 USA</t>
  </si>
  <si>
    <t>nagao@eqchem.s.u-tokyo.ac.jp</t>
  </si>
  <si>
    <t>A107</t>
  </si>
  <si>
    <t>WOS:000257683100191</t>
  </si>
  <si>
    <t>Nagaoka, H; Karouji, Y; Arai, T; Shinotsuka, K; Ebihara, M; Hasebe, N</t>
  </si>
  <si>
    <t>Nagaoka, H.; Karouji, Y.; Arai, T.; Shinotsuka, K.; Ebihara, M.; Hasebe, N.</t>
  </si>
  <si>
    <t>Most ferroan feldspathic lunar meteorite NWA 2200</t>
  </si>
  <si>
    <t>[Nagaoka, H.; Karouji, Y.; Hasebe, N.] Waseda Univ, Res Inst Sci &amp; Engn, Tokyo 1698555, Japan; [Arai, T.] Natl Inst Polar Res, Antarctic Environm Res Ctr, Tokyo 1738515, Japan; [Shinotsuka, K.; Ebihara, M.] Tokyo Metropolitan Univ, Dept Chem, Tokyo 1920397, Japan</t>
  </si>
  <si>
    <t>Waseda University; Research Organization of Information &amp; Systems (ROIS); National Institute of Polar Research (NIPR) - Japan; Tokyo Metropolitan University</t>
  </si>
  <si>
    <t>Nagaoka, Hiroshi/AAP-5240-2020</t>
  </si>
  <si>
    <t>WOS:000257683100192</t>
  </si>
  <si>
    <t>Nagasawa, K; Kawabe, S; Saiki, K</t>
  </si>
  <si>
    <t>Nagasawa, K.; Kawabe, S.; Saiki, K.</t>
  </si>
  <si>
    <t>Influence of the specular reflection on spectroscopic identification of the lithology of lunar central peaks</t>
  </si>
  <si>
    <t>CLEMENTINE</t>
  </si>
  <si>
    <t>[Nagasawa, K.; Kawabe, S.; Saiki, K.] Osaka Univ, Grad Sch Sci, Dept Earth &amp; Space Sci, Osaka, Japan</t>
  </si>
  <si>
    <t>nagasawa@astroboy.ess.sci.osaka-u.ac.jp</t>
  </si>
  <si>
    <t>A108</t>
  </si>
  <si>
    <t>WOS:000257683100193</t>
  </si>
  <si>
    <t>Nagashima, K; Krot, AN; Huss, GR</t>
  </si>
  <si>
    <t>Nagashima, K.; Krot, A. N.; Huss, G. R.</t>
  </si>
  <si>
    <t>Relict CAI with highly fractionated oxygen isotopes inside a type I chondrule</t>
  </si>
  <si>
    <t>[Nagashima, K.; Krot, A. N.; Huss, G. R.] Univ Hawaii Manoa, SOEST, HIGP, Honolulu, HI 96822 USA</t>
  </si>
  <si>
    <t>kazu@higp.hawaii.edu</t>
  </si>
  <si>
    <t>WOS:000257683100194</t>
  </si>
  <si>
    <t>Nagy, S; Gucsik, A; Ninagawa, K; Józsa, S; Bérczi, S; Nishido, H; Okumura, T; Veres, M; Kereszturi, A; Hargitai, H</t>
  </si>
  <si>
    <t>Nagy, Sz.; Gucsik, A.; Ninagawa, K.; Jozsa, S.; Berczi, Sz.; Nishido, H.; Okumura, T.; Veres, M.; Kereszturi, A.; Hargitai, H.</t>
  </si>
  <si>
    <t>Micro-Raman spectroscopy of the shocked olivine in the martian meteorite ALH 77005</t>
  </si>
  <si>
    <t>[Nagy, Sz.; Jozsa, S.; Berczi, Sz.; Kereszturi, A.; Hargitai, H.] Eotvos Lorand Univ, H-1117 Budapest, Hungary; [Gucsik, A.] Max Planck Inst Chem, Dept Geochem, D-55128 Mainz, Germany; [Ninagawa, K.] Okayama Univ Sci, Dept Appl Phys, Okayama 7000005, Japan; [Nishido, H.] Okayama Univ Sci, Res Inst Nat Sci, Okayama 7000005, Japan; [Okumura, T.] Okayama Univ Sci, Open Res Ctr, Okayama 7000005, Japan; [Kereszturi, A.] MTA SZFKI, H-1121 Budapest, Hungary</t>
  </si>
  <si>
    <t>Eotvos Lorand University; Max Planck Society; Okayama University of Science; Okayama University of Science; Okayama University of Science</t>
  </si>
  <si>
    <t>ringwoodit@yahoo.com</t>
  </si>
  <si>
    <t>Hargitai, Henrik I/H-5929-2018; Kereszturi, Akos/AAN-3092-2020; Gucsik, Arnold/G-3570-2016; Jozsa, Sandor/L-1387-2018</t>
  </si>
  <si>
    <t>WOS:000257683100351</t>
  </si>
  <si>
    <t>Nagy, S; Okumura, T; Gucsik, A</t>
  </si>
  <si>
    <t>Nagy, Sz.; Okumura, T.; Gucsik, A.</t>
  </si>
  <si>
    <t>Cathodoluminescence characterization of shocked K-FELDSPAR from Bosumtwi meteorite crater</t>
  </si>
  <si>
    <t>IMPACT STRUCTURE; GHANA</t>
  </si>
  <si>
    <t>[Nagy, Sz.] Eotvos Lorand Univ, Dept Petr &amp; Geochem, H-1117 Budapest, Hungary; [Okumura, T.] Okayama Univ Sci, Open Res Ctr, Okayama 7000005, Japan; [Gucsik, A.] Max Planck Inst Chem, D-55020 Mainz, Germany</t>
  </si>
  <si>
    <t>Eotvos Lorand University; Okayama University of Science; Max Planck Society</t>
  </si>
  <si>
    <t>A109</t>
  </si>
  <si>
    <t>WOS:000257683100195</t>
  </si>
  <si>
    <t>Nakamoto, T; Doi, M; Nakamura, T; Yamauchi, Y</t>
  </si>
  <si>
    <t>Nakamoto, T.; Doi, M.; Nakamura, T.; Yamauchi, Y.</t>
  </si>
  <si>
    <t>Shapes of cosmic spherules: What do they tell us?</t>
  </si>
  <si>
    <t>[Nakamoto, T.; Doi, M.] Tokyo Inst Technol, Dept Earth &amp; Planetary Sci, Tokyo 1528551, Japan; [Nakamura, T.; Yamauchi, Y.] Kyushu Univ, Dept Earth &amp; Planetary Sci, Fukuoka 8128581, Japan</t>
  </si>
  <si>
    <t>Tokyo Institute of Technology; Kyushu University</t>
  </si>
  <si>
    <t>nakamoto@geo.titech.ac.jp</t>
  </si>
  <si>
    <t>WOS:000257683100196</t>
  </si>
  <si>
    <t>Nakamura, T; Noguchi, T; Okazaki, R; Jogo, K; Ohtsuka, K</t>
  </si>
  <si>
    <t>Nakamura, T.; Noguchi, T.; Okazaki, R.; Jogo, K.; Ohtsuka, K.</t>
  </si>
  <si>
    <t>Mineralogical and stable isotope signatures of El-Quss Abu Said CM2 carbonaceous chondrite: Pristine material from outer asteroid belt</t>
  </si>
  <si>
    <t>INTERPLANETARY DUST</t>
  </si>
  <si>
    <t>[Nakamura, T.; Okazaki, R.; Jogo, K.] Kyushu Univ, Dept Earth &amp; Planetary Sci, Fukuoka 8128581, Japan; [Noguchi, T.; Ohtsuka, K.] Ibaraki Univ, Dept Mat &amp; Biol Sci, Mito, Ibaraki 3108512, Japan; [Ohtsuka, K.] Tokyo Meteor Network, Tokyo 1550032, Japan</t>
  </si>
  <si>
    <t>Kyushu University; Ibaraki University</t>
  </si>
  <si>
    <t>tomoki@geo.kyushu-u.ac.jp</t>
  </si>
  <si>
    <t>A110</t>
  </si>
  <si>
    <t>WOS:000257683100197</t>
  </si>
  <si>
    <t>Nakamura, Y; Bajo, K; Nakashima, D; Nagao, K</t>
  </si>
  <si>
    <t>Nakamura, Y.; Bajo, K.; Nakashima, D.; Nagao, K.</t>
  </si>
  <si>
    <t>Noble gas analyses of individual chondrules from the Allende CV3 chondrite</t>
  </si>
  <si>
    <t>[Nakamura, Y.; Bajo, K.; Nakashima, D.; Nagao, K.] Univ Tokyo, Grad Sch Sci, Earthquake Chem Lab, Tokyo 1130033, Japan</t>
  </si>
  <si>
    <t>nakamura@eqchem.s.u-tokyo.ac.jp</t>
  </si>
  <si>
    <t>WOS:000257683100198</t>
  </si>
  <si>
    <t>Nakamura-Messenger, K; Keller, LP; Messenger, S; Clemett, SJ; Zolensky, ME; Palma, RL; Pepin, RO; Wirick, S</t>
  </si>
  <si>
    <t>Nakamura-Messenger, K.; Keller, L. P.; Messenger, S.; Clemett, S. J.; Zolensky, M. E.; Palma, R. L.; Pepin, R. O.; Wirick, S.</t>
  </si>
  <si>
    <t>Mineralogy of interplanetary dust particles from the comet Grigg-Skjellerup dust stream collections</t>
  </si>
  <si>
    <t>[Nakamura-Messenger, K.; Keller, L. P.; Messenger, S.; Clemett, S. J.; Zolensky, M. E.] NASA, JSC, Washington, DC USA; [Palma, R. L.] Minnesota State Univ, Minneapolis, MN USA; [Palma, R. L.; Pepin, R. O.] Univ Minnesota, Minneapolis, MN 55455 USA; [Wirick, S.] SUNY Stony Brook, Stony Brook, NY USA</t>
  </si>
  <si>
    <t>National Aeronautics &amp; Space Administration (NASA); University of Minnesota System; University of Minnesota Twin Cities; State University of New York (SUNY) System; State University of New York (SUNY) Stony Brook</t>
  </si>
  <si>
    <t>keiko.nakamura-1@nasa.gov</t>
  </si>
  <si>
    <t>A111</t>
  </si>
  <si>
    <t>WOS:000257683100199</t>
  </si>
  <si>
    <t>Nakamuta, Y</t>
  </si>
  <si>
    <t>Nakamuta, Y.</t>
  </si>
  <si>
    <t>In situ observation of diamonds in ureilites by Raman spectroscopy</t>
  </si>
  <si>
    <t>[Nakamuta, Y.] Kyushu Univ, Kyushu Univ Museum, Fukuoka 812, Japan</t>
  </si>
  <si>
    <t>nakamuta@.museum.kyushu-u.ac.jp</t>
  </si>
  <si>
    <t>WOS:000257683100200</t>
  </si>
  <si>
    <t>Nakashima, D; Nagao, K; Irving, AJ</t>
  </si>
  <si>
    <t>Nakashima, D.; Nagao, K.; Irving, A. J.</t>
  </si>
  <si>
    <t>Noble gases in angrites NWA 2999/4931, NWA 4590, and NWA 4801: Exposure ages and evidence of fissiogenic Xe</t>
  </si>
  <si>
    <t>ANGRA-DOS-REIS</t>
  </si>
  <si>
    <t>[Nakashima, D.; Nagao, K.] Univ Tokyo, Earthquake Chem Lab, Bunkyo Ku, Tokyo, Japan; [Irving, A. J.] Univ Washington, Dept Earth &amp; Space Sci, Seattle, WA 98195 USA</t>
  </si>
  <si>
    <t>University of Tokyo; University of Washington; University of Washington Seattle</t>
  </si>
  <si>
    <t>naka@eqchem.s.u-tokyo.ac.jp</t>
  </si>
  <si>
    <t>A112</t>
  </si>
  <si>
    <t>WOS:000257683100202</t>
  </si>
  <si>
    <t>Nakashima, D; Nagao, K</t>
  </si>
  <si>
    <t>Nakashima, D.; Nagao, K.</t>
  </si>
  <si>
    <t>Noble gases in individual glassy spherules from the SAU 290 CH3 chondrite</t>
  </si>
  <si>
    <t>[Nakashima, D.; Nagao, K.] Univ Tokyo, Grad Sch Sci, Earthquake Chem Lab, Bukyo Ku, Tokyo 1130033, Japan</t>
  </si>
  <si>
    <t>WOS:000257683100201</t>
  </si>
  <si>
    <t>Nakato, A; Nakamura, T; Kitajima, F; Noguchi, T</t>
  </si>
  <si>
    <t>Nakato, A.; Nakamura, T.; Kitajima, F.; Noguchi, T.</t>
  </si>
  <si>
    <t>Evaluation of dehydration mechanism during heating of hydrous asteroids based on experimentally heated CM cohndrites</t>
  </si>
  <si>
    <t>[Nakato, A.; Nakamura, T.; Kitajima, F.] Kyushu Univ, Dept Earth &amp; Planetary Sci, Fukuoka 812, Japan; [Noguchi, T.] Ibaraki Univ, Dept Mat &amp; Biol Sci, Ibaraki, Japan</t>
  </si>
  <si>
    <t>aiko@geo.kyushu-u.ae.jp</t>
  </si>
  <si>
    <t>A113</t>
  </si>
  <si>
    <t>WOS:000257683100203</t>
  </si>
  <si>
    <t>Nakazato, T; Kayama, M; Nishido, H; Ninagawa, K; Gucsik, A; Berczi, S</t>
  </si>
  <si>
    <t>Nakazato, T.; Kayama, M.; Nishido, H.; Ninagawa, K.; Gucsik, A.; Berczi, Sz.</t>
  </si>
  <si>
    <t>Martian origin of calcite in DHOFAR 019</t>
  </si>
  <si>
    <t>[Nakazato, T.; Kayama, M.; Nishido, H.] Okayama Univ Sci, Res Inst Nat Sci, Okayama 700005, Japan; [Ninagawa, K.] Okayama Univ Sci, Dept Appl Phys, Okayama 700005, Japan; [Gucsik, A.] Max Planck Inst Chem, Dept Geochem, D-55128 Mainz, Germany; [Berczi, Sz.] Eotvos Lorand Univ, Inst Phys, Dept G Phys, Cosm Mat Space R Grp, H-1117 Budapest, Hungary</t>
  </si>
  <si>
    <t>nakazato@rins.ous.ac.jp</t>
  </si>
  <si>
    <t>WOS:000257683100204</t>
  </si>
  <si>
    <t>Namiki, N; Hanada, H; Iwata, T</t>
  </si>
  <si>
    <t>Namiki, N.; Hanada, H.; Iwata, T.</t>
  </si>
  <si>
    <t>RSAT &amp; VRAD Teams</t>
  </si>
  <si>
    <t>Lunar far side gravity from the Kaguya (selene) mission and dichotomy of the moon</t>
  </si>
  <si>
    <t>[Namiki, N.] Kyushu Univ, Fukuoka 812, Japan</t>
  </si>
  <si>
    <t>A114</t>
  </si>
  <si>
    <t>WOS:000257683100205</t>
  </si>
  <si>
    <t>Naraoka, H; Kojima, H</t>
  </si>
  <si>
    <t>Naraoka, Hiroshi; Kojima, Hideyasu</t>
  </si>
  <si>
    <t>Meteorite search in East Antarctica: Beyond the Yamato Mountains</t>
  </si>
  <si>
    <t>[Naraoka, Hiroshi] Kyushu Univ, Dept Earth &amp; Planetary Sci, Fukuoka 812, Japan; [Kojima, Hideyasu] Natl Inst Polar Res, Antarctic Meteorite Ctr, Tokyo, Japan</t>
  </si>
  <si>
    <t>Kyushu University; Research Organization of Information &amp; Systems (ROIS); National Institute of Polar Research (NIPR) - Japan</t>
  </si>
  <si>
    <t>naraoka@geo.kyushu-u.ac.jp</t>
  </si>
  <si>
    <t>A188</t>
  </si>
  <si>
    <t>WOS:000257683100352</t>
  </si>
  <si>
    <t>Needham, AW; Smith, CL; Sephton, MA; Martins, Z; Russell, SS</t>
  </si>
  <si>
    <t>Needham, A. W.; Smith, C. L.; Sephton, M. A.; Martins, Z.; Russell, S. S.</t>
  </si>
  <si>
    <t>Gamma irradiation effects on martian analogues</t>
  </si>
  <si>
    <t>[Needham, A. W.; Smith, C. L.; Russell, S. S.] Nat Hist Museum, Dept Mineral, London SW7 5BD, England; [Sephton, M. A.; Martins, Z.] Univ London Imperial Coll Sci Technol &amp; Med, Dept Earth Sci &amp; Eng, IARC, London, England</t>
  </si>
  <si>
    <t>Natural History Museum London; Imperial College London; Natural History Museum London</t>
  </si>
  <si>
    <t>Smith, Caroline/AAO-3652-2020</t>
  </si>
  <si>
    <t>Smith, Caroline/0000-0001-7005-6470</t>
  </si>
  <si>
    <t>Science and Technology Facilities Council [ST/G000018/1] Funding Source: researchfish; STFC [ST/G000018/1] Funding Source: UKRI</t>
  </si>
  <si>
    <t>WOS:000257683100206</t>
  </si>
  <si>
    <t>Nguyen, AN; Alexander, CMO; Nittler, LR</t>
  </si>
  <si>
    <t>Nguyen, A. N.; Alexander, C. M. O'D.; Nittler, L. R.</t>
  </si>
  <si>
    <t>An abundant mix of presolar matter in the highly primitive Cr chondrite que 99177</t>
  </si>
  <si>
    <t>INTERPLANETARY DUST; SILICATE; GRAINS</t>
  </si>
  <si>
    <t>[Nguyen, A. N.; Alexander, C. M. O'D.; Nittler, L. R.] Carnegie Inst Washington, Dept Terr Magnetism, Washington, DC 20015 USA</t>
  </si>
  <si>
    <t>Carnegie Institution for Science</t>
  </si>
  <si>
    <t>nguyen@dtm.ciw.edu</t>
  </si>
  <si>
    <t>Alexander, Conel M. O'D./N-7533-2013; Nguyen, Ann/KGL-5622-2024</t>
  </si>
  <si>
    <t>Alexander, Conel M. O'D./0000-0002-8558-1427;</t>
  </si>
  <si>
    <t>A115</t>
  </si>
  <si>
    <t>WOS:000257683100207</t>
  </si>
  <si>
    <t>Ninagawa, K; Matsui, H; Imae, N; Kojima, H</t>
  </si>
  <si>
    <t>Ninagawa, K.; Matsui, H.; Imae, N.; Kojima, H.</t>
  </si>
  <si>
    <t>Thermolumiescence study in the Japanese Antarctic meteorites collection: Yamato-98 unequilibrated ordinary chondrites</t>
  </si>
  <si>
    <t>[Ninagawa, K.; Matsui, H.] Okayama Univ Sci, Dept Appl Phys, Okayama 700005, Japan; [Imae, N.; Kojima, H.] Natl Inst Polar Res, Tokyo 1738515, Japan</t>
  </si>
  <si>
    <t>Okayama University of Science; Research Organization of Information &amp; Systems (ROIS); National Institute of Polar Research (NIPR) - Japan</t>
  </si>
  <si>
    <t>ninagawa@dap.ous.ac.jp</t>
  </si>
  <si>
    <t>WOS:000257683100208</t>
  </si>
  <si>
    <t>Nishiizumi, K; Caffee, MW; Kohno, M; Misawa, K; Tomiyama, T</t>
  </si>
  <si>
    <t>Nishiizumi, K.; Caffee, M. W.; Kohno, M.; Misawa, K.; Tomiyama, T.</t>
  </si>
  <si>
    <t>Large meteoritic impact on Antarctic ice sheet 434 Kyr ago-micrometeorites found in the dome fuji ice core</t>
  </si>
  <si>
    <t>[Nishiizumi, K.] Univ Calif Berkeley, Space Sci Lab, Berkeley, CA 94720 USA; [Caffee, M. W.] Purdue Univ, Dept Phys, W Lafayette, IN 47907 USA; [Kohno, M.; Misawa, K.; Tomiyama, T.] Natl Inst Polar Res, Tokyo, Japan</t>
  </si>
  <si>
    <t>University of California System; University of California Berkeley; Purdue University System; Purdue University; Research Organization of Information &amp; Systems (ROIS); National Institute of Polar Research (NIPR) - Japan</t>
  </si>
  <si>
    <t>kuni@ssl.berkeley.edu</t>
  </si>
  <si>
    <t>A116</t>
  </si>
  <si>
    <t>WOS:000257683100209</t>
  </si>
  <si>
    <t>Nishioka, I; Funaki, M</t>
  </si>
  <si>
    <t>Nishioka, I.; Funaki, M.</t>
  </si>
  <si>
    <t>Irreversible changes in anisotropy of magnetic susceptibility. Study of basalts from lunar crater and experimentally impacted basaltic andesite</t>
  </si>
  <si>
    <t>WOS:000257683100210</t>
  </si>
  <si>
    <t>Noguchi, R; Murata, K; Tsuchiyama, A; Isobe, H; Chihara, H; Nakamura, T; Noguchi, T</t>
  </si>
  <si>
    <t>Noguchi, R.; Murata, K.; Tsuchiyama, A.; Isobe, H.; Chihara, H.; Nakamura, T.; Noguchi, T.</t>
  </si>
  <si>
    <t>Hydrothermal experiments of synthetic amorphous silicates with Cl chondritic composition in the systems with and without FeO</t>
  </si>
  <si>
    <t>[Noguchi, R.; Murata, K.; Tsuchiyama, A.; Isobe, H.; Chihara, H.; Nakamura, T.; Noguchi, T.] Osaka Univ, Dept Earth &amp; Space Sci, Suita, Osaka 565, Japan</t>
  </si>
  <si>
    <t>noguchi@astroboy.ess.sci.osaka-u.ac.jp</t>
  </si>
  <si>
    <t>Noguchi, Takaaki/IWV-1123-2023</t>
  </si>
  <si>
    <t>Noguchi, Takaaki/0000-0001-7211-2595</t>
  </si>
  <si>
    <t>A117</t>
  </si>
  <si>
    <t>WOS:000257683100211</t>
  </si>
  <si>
    <t>Noguchi, T; Ohashi, N; Nishida, S; Nakamura, T; Aoki, T; Toh, S; Stephan, T; Iwata, N</t>
  </si>
  <si>
    <t>Noguchi, T.; Ohashi, N.; Nishida, S.; Nakamura, T.; Aoki, T.; Toh, S.; Stephan, T.; Iwata, N.</t>
  </si>
  <si>
    <t>Discovery of antarctic micrometeorites containing gems and enstatite whiskers</t>
  </si>
  <si>
    <t>[Noguchi, T.; Ohashi, N.; Nishida, S.] Ibaraki Univ, Coll Sci, Tsukuba, Ibaraki, Japan; [Nakamura, T.; Aoki, T.] Kyushu Univ, Fac Sci, Dept Earth &amp; Planetary Sci, Fukuoka 812, Japan; [Toh, S.] Kyushu Univ, HVEM Lab, Fukuoka 812, Japan; [Stephan, T.] Univ Chicago, Dept Geophys Sci, Chicago, IL 60637 USA; [Iwata, N.] Iwate Univ, Dept Earth &amp; Environm Sci, Morioka, Iwate, Japan</t>
  </si>
  <si>
    <t>Ibaraki University; Kyushu University; Kyushu University; University of Chicago; Iwate University</t>
  </si>
  <si>
    <t>tngc@mx.ibaraki.ac.jp</t>
  </si>
  <si>
    <t>Stephan, Thomas/C-1023-2008; Iwata, Naoyoshi/B-7554-2008</t>
  </si>
  <si>
    <t>Stephan, Thomas/0000-0001-6377-8731; Iwata, Naoyoshi/0000-0002-0017-9130</t>
  </si>
  <si>
    <t>WOS:000257683100212</t>
  </si>
  <si>
    <t>Nuth, JA</t>
  </si>
  <si>
    <t>Nuth, Joseph A., III</t>
  </si>
  <si>
    <t>Equilibration of the oxygen isotopes in the earth-moon system</t>
  </si>
  <si>
    <t>[Nuth, Joseph A., III] NASA, Goddard Space Flight Ctr, Astrochem Lab, Solar Syst Explorat Div, Greenbelt, MD 20771 USA</t>
  </si>
  <si>
    <t>National Aeronautics &amp; Space Administration (NASA); NASA Goddard Space Flight Center</t>
  </si>
  <si>
    <t>Joseph.A.Nuth@NASA.gov</t>
  </si>
  <si>
    <t>Nuth, Joseph A/E-7085-2012</t>
  </si>
  <si>
    <t>WOS:000257683100214</t>
  </si>
  <si>
    <t>Nyquist, LE; Shih, CY; Reese, YD; Treiman, AH</t>
  </si>
  <si>
    <t>Nyquist, L. E.; Shih, C. -Y.; Reese, Y. D.; Treiman, A. H.</t>
  </si>
  <si>
    <t>Early partial melting of the Gra 06128/9 Pb from Sm-Nd and Rb-Sr isotopic studies</t>
  </si>
  <si>
    <t>COUNTY IAB IRON; PLAGIOCLASE-DIOPSIDE; MINERALOGY</t>
  </si>
  <si>
    <t>[Nyquist, L. E.] NASA, Lyndon B Johnson Space Ctr, Houston, TX 77058 USA; [Shih, C. -Y.] ESCG Jacobs Sverdrup, Houston, TX 77058 USA; [Reese, Y. D.] ESCG Muniz Engn, Houston, TX 77058 USA; [Treiman, A. H.] Lunar &amp; Planetary Inst, Houston, TX 77058 USA</t>
  </si>
  <si>
    <t>laurence.e.nyquist@nasa.gov</t>
  </si>
  <si>
    <t>A119</t>
  </si>
  <si>
    <t>WOS:000257683100215</t>
  </si>
  <si>
    <t>Oba, Y; Naraoka, H</t>
  </si>
  <si>
    <t>Oba, Yasuhiro; Naraoka, Hiroshi</t>
  </si>
  <si>
    <t>Incorporation of hydrous oxygen into insoluble organic matter (IOM) of murchison</t>
  </si>
  <si>
    <t>METEORITE</t>
  </si>
  <si>
    <t>[Oba, Yasuhiro] Hokkaido Univ, Inst Low Temp Sci, Sapporo, Hokkaido 060, Japan; [Naraoka, Hiroshi] Kyushu Univ, Dept Earth &amp; Planetary Sci, Fukuoka 812, Japan</t>
  </si>
  <si>
    <t>Hokkaido University; Kyushu University</t>
  </si>
  <si>
    <t>oba@neko.lowtem.hokudai.ac.jp</t>
  </si>
  <si>
    <t>Oba, Yasuhiro/E-2851-2012</t>
  </si>
  <si>
    <t>Oba, Yasuhiro/0000-0002-6852-3604</t>
  </si>
  <si>
    <t>WOS:000257683100216</t>
  </si>
  <si>
    <t>Ohi, S; Ito, H; Miyake, A; Shimobayashi, N; Noguchi, T; Kitamura, M</t>
  </si>
  <si>
    <t>Ohi, S.; Ito, H.; Miyake, A.; Shimobayashi, N.; Noguchi, T.; Kitamura, M.</t>
  </si>
  <si>
    <t>Finding of high-temperature orthopyroxene in a chondrite</t>
  </si>
  <si>
    <t>EQUILIBRIA</t>
  </si>
  <si>
    <t>[Ohi, S.; Ito, H.; Miyake, A.; Shimobayashi, N.; Kitamura, M.] Kyoto Univ, Grad Sch Sci, Div Earth &amp; Planetary Sci, Dept Geol &amp; Mineral, Kyoto, Japan; [Noguchi, T.] Ibaraki Univ, Dept Mat &amp; Biol Sci, Mito, Ibaraki 3108512, Japan</t>
  </si>
  <si>
    <t>Kyoto University; Ibaraki University</t>
  </si>
  <si>
    <t>shugo-ohi@kueps.kyoto-u.ac.jp</t>
  </si>
  <si>
    <t>MIYAKE, Akira/JTU-6576-2023</t>
  </si>
  <si>
    <t>MIYAKE, Akira/0000-0002-6197-4656</t>
  </si>
  <si>
    <t>A120</t>
  </si>
  <si>
    <t>WOS:000257683100217</t>
  </si>
  <si>
    <t>Ohtake, M; Matsunaga, T; Haruyama, J; Yokota, Y; Morota, T; Honda, C; Torii, M; Ogawa, Y</t>
  </si>
  <si>
    <t>Ohtake, M.; Matsunaga, T.; Haruyama, J.; Yokota, Y.; Morota, T.; Honda, C.; Torii, M.; Ogawa, Y.</t>
  </si>
  <si>
    <t>LISM Team</t>
  </si>
  <si>
    <t>Preliminary results of the multiband imager and spectral profiler</t>
  </si>
  <si>
    <t>ohtake.makiko@jaxa.jp</t>
  </si>
  <si>
    <t>WOS:000257683100218</t>
  </si>
  <si>
    <t>Ohtsuka, K; Arakida, H; Ito, T; Yoshikawa, M; Asher, DJ</t>
  </si>
  <si>
    <t>Ohtsuka, K.; Arakida, H.; Ito, T.; Yoshikawa, M.; Asher, D. J.</t>
  </si>
  <si>
    <t>Apollo asteroid 1999 Yc: Another large member of the PGC?</t>
  </si>
  <si>
    <t>2005 UD; PHAETHON</t>
  </si>
  <si>
    <t>[Ohtsuka, K.] Tokyo Meteor Network, Setagaya Ku, Tokyo 1550032, Japan; [Arakida, H.] Waseda Univ, Shinjuku Ku, Tokyo 1698050, Japan; [Ito, T.] Natl Astron Observ, Mitaka, Tokyo 1818588, Japan; [Yoshikawa, M.] JAXA, ISAS, Sagamihara, Kanagawa 2298510, Japan; [Asher, D. J.] Armagh Observ, Armagh BT61 9DG, North Ireland</t>
  </si>
  <si>
    <t>Waseda University; National Institutes of Natural Sciences (NINS) - Japan; National Astronomical Observatory of Japan (NAOJ); Japan Aerospace Exploration Agency (JAXA); Institute of Space &amp; Astronautical Science (ISAS)</t>
  </si>
  <si>
    <t>ohtsuka@jb3.so-net.ne.jp</t>
  </si>
  <si>
    <t>A121</t>
  </si>
  <si>
    <t>WOS:000257683100219</t>
  </si>
  <si>
    <t>Oka, M; Uesugi, M; Tsuchiyama, A</t>
  </si>
  <si>
    <t>Oka, M.; Uesugi, M.; Tsuchiyama, A.</t>
  </si>
  <si>
    <t>Experimental reproduction of voids in chondrules under low pressure like premitive solar nebula</t>
  </si>
  <si>
    <t>[Oka, M.; Uesugi, M.; Tsuchiyama, A.] Osaka Univ, Grad Sch Sci, Dept Earth &amp; Space Sci, Toyonaka, Osaka 560, Japan</t>
  </si>
  <si>
    <t>oka@astroboy.ess.sci.osaka-u.ac.jp</t>
  </si>
  <si>
    <t>WOS:000257683100220</t>
  </si>
  <si>
    <t>Okazaki, R; Nakamura, T</t>
  </si>
  <si>
    <t>Okazaki, R.; Nakamura, T.</t>
  </si>
  <si>
    <t>Mineralogy, chemistry, and isotope compositions of coarse-grained antarctic micrometeorites</t>
  </si>
  <si>
    <t>COMET 81P/WILD-2; SAMPLES</t>
  </si>
  <si>
    <t>[Okazaki, R.; Nakamura, T.] Kyushu Univ, Dept Earth &amp; Planetary Sci, Fukuoka 812, Japan</t>
  </si>
  <si>
    <t>okazaki@geo.kyushu-u.ac.jp</t>
  </si>
  <si>
    <t>A122</t>
  </si>
  <si>
    <t>WOS:000257683100221</t>
  </si>
  <si>
    <t>Okumura, T; Gucsik, A; Nishido, H; Ninagawa, K; Schmieder, M; Buchner, E</t>
  </si>
  <si>
    <t>Okumura, T.; Gucsik, A.; Nishido, H.; Ninagawa, K.; Schmieder, M.; Buchner, E.</t>
  </si>
  <si>
    <t>Cathodoluminescence characterization of ballen quartz in impactites</t>
  </si>
  <si>
    <t>[Okumura, T.] Okayama Univ Sci, Open Res Ctr, Okayama 7000005, Japan; [Gucsik, A.] Max Planck Inst Chem, D-55020 Mainz, Germany; [Nishido, H.] Okayama Univ Sci, Res Inst Nat Sci, Okayama 7000005, Japan; [Ninagawa, K.] Okayama Univ Sci, Dept Appl Phys, Okayama 7000005, Japan; [Schmieder, M.; Buchner, E.] Univ Stuttgart, Inst Planetol, D-70174 Stuttgart, Germany</t>
  </si>
  <si>
    <t>Okayama University of Science; Max Planck Society; Okayama University of Science; Okayama University of Science; University of Stuttgart</t>
  </si>
  <si>
    <t>okumura@rins.ous.ac.jp</t>
  </si>
  <si>
    <t>Schmieder, Martin/C-1636-2013; Schmieder, Martin/R-8844-2019; Gucsik, Arnold/G-3570-2016</t>
  </si>
  <si>
    <t>Schmieder, Martin/0000-0002-1458-5148</t>
  </si>
  <si>
    <t>WOS:000257683100222</t>
  </si>
  <si>
    <t>Orthous-Daunay, FR; Quirico, E; Brissaud, O; Schmitt, B</t>
  </si>
  <si>
    <t>Orthous-Daunay, F. R.; Quirico, E.; Brissaud, O.; Schmitt, B.</t>
  </si>
  <si>
    <t>Microinfrared spectroscopy of insoluble organic matter extracted from primitive chondrites</t>
  </si>
  <si>
    <t>CARBONACEOUS CHONDRITE; ORGUEIL; NMR</t>
  </si>
  <si>
    <t>[Orthous-Daunay, F. R.; Quirico, E.; Brissaud, O.; Schmitt, B.] Univ Grenoble 1, LPG, CNRS, INSU, F-38041 Grenoble 9, France</t>
  </si>
  <si>
    <t>Communaute Universite Grenoble Alpes; Universite Grenoble Alpes (UGA); Centre National de la Recherche Scientifique (CNRS); CNRS - National Institute for Earth Sciences &amp; Astronomy (INSU)</t>
  </si>
  <si>
    <t>Orthous-Daunay, François-Régis/HTN-3075-2023; Schmitt, Bernard/A-1064-2009</t>
  </si>
  <si>
    <t>Schmitt, Bernard/0000-0002-1230-6627</t>
  </si>
  <si>
    <t>A123</t>
  </si>
  <si>
    <t>WOS:000257683100223</t>
  </si>
  <si>
    <t>Osawa, T; Hirao, N; Takeda, N; Baba, Y</t>
  </si>
  <si>
    <t>Osawa, T.; Hirao, N.; Takeda, N.; Baba, Y.</t>
  </si>
  <si>
    <t>Noble gas retentivity of carbon allotropes and kerogen: Feasibility of kerogen as phase Q</t>
  </si>
  <si>
    <t>COMPONENT; ALLENDE</t>
  </si>
  <si>
    <t>[Osawa, T.] JAEA, Neutron Imaging &amp; Activat Anal Grp, Quantum Beam Sci Directorate, Naka, Ibaraki 3191195, Japan; [Hirao, N.; Baba, Y.] JAEA, Surface Chem Res Grp, Quantum Beam Sci Directorate, Synchrotron Radiat Res Unit, Naka, Ibaraki 3191195, Japan; [Takeda, N.] Japan Petr Explorat Co Ltd, JAPEX Res Ctr, Mihama Ku, Chiba 2610025, Japan</t>
  </si>
  <si>
    <t>Japan Atomic Energy Agency; Japan Atomic Energy Agency</t>
  </si>
  <si>
    <t>osawa.takahito@jaea.go.jp</t>
  </si>
  <si>
    <t>WOS:000257683100224</t>
  </si>
  <si>
    <t>Oshtrakh, MI; Abramova, NV; Grokhovsky, VI; Semionkin, VA</t>
  </si>
  <si>
    <t>Oshtrakh, M. I.; Abramova, N. V.; Grokhovsky, V. I.; Semionkin, V. A.</t>
  </si>
  <si>
    <t>Re-examination of chinga meteorite using Mossbauer spectroscopy with high-velocity resolution: Preliminary results</t>
  </si>
  <si>
    <t>[Oshtrakh, M. I.; Abramova, N. V.; Grokhovsky, V. I.] Ural State Tech Univ, UPI, Fac Phys Tech &amp; Devices Qual Control, Ekaterinburg 620002, Russia; [Semionkin, V. A.] Ural State Tech Univ, Fac Expt Phys, UPI, Ekaterinburg 620002, Russia</t>
  </si>
  <si>
    <t>Ural Federal University; Ural Federal University</t>
  </si>
  <si>
    <t>oshtrakh@mail.ut-net.ru</t>
  </si>
  <si>
    <t>Oshtrakh, Michael/L-8342-2016; Oshtrakh, Mikhail/AAB-4761-2019; Abramova, Natalya/GXM-6833-2022; Grokhovsky, Victor I/B-4388-2014; Semionkin, Vladimir/AEH-1128-2022</t>
  </si>
  <si>
    <t>Oshtrakh, Michael/0000-0002-2937-5194;</t>
  </si>
  <si>
    <t>A124</t>
  </si>
  <si>
    <t>WOS:000257683100225</t>
  </si>
  <si>
    <t>Otake, H</t>
  </si>
  <si>
    <t>Otake, Hisashi</t>
  </si>
  <si>
    <t>Subsurface chemistry of the imbrium basin inferred from clementine UVVIS spectroscopy</t>
  </si>
  <si>
    <t>[Otake, Hisashi] Japan Aerosp Explorat Agcy, Tsukuba, Ibaraki 3058505, Japan</t>
  </si>
  <si>
    <t>Japan Aerospace Exploration Agency (JAXA)</t>
  </si>
  <si>
    <t>ootake.hisashi@jaxa.jp</t>
  </si>
  <si>
    <t>WOS:000257683100226</t>
  </si>
  <si>
    <t>Ott, U; Frankel, L; Grau, TH</t>
  </si>
  <si>
    <t>Ott, U.; Frankel, L.; Grau, T. H.</t>
  </si>
  <si>
    <t>Noble gases in the carancas (Puno, Peru) meteorite</t>
  </si>
  <si>
    <t>ORDINARY CHONDRITES; PRODUCTION-RATES; EXPOSURE AGES; NE-21; HE-3</t>
  </si>
  <si>
    <t>[Ott, U.; Frankel, L.] Max Planck Inst Chem, Abt Geochem, D-55128 Mainz, Germany</t>
  </si>
  <si>
    <t>ott@mpch-mainz.mpg.de</t>
  </si>
  <si>
    <t>A125</t>
  </si>
  <si>
    <t>WOS:000257683100228</t>
  </si>
  <si>
    <t>Ott, U; Huss, GR</t>
  </si>
  <si>
    <t>Ott, U.; Huss, G. R.</t>
  </si>
  <si>
    <t>Trapping of cosmic ray helium by interstellar diamond</t>
  </si>
  <si>
    <t>ION-IMPLANTATION EXPERIMENTS; ISOTOPIC COMPOSITION; PRESOLAR DIAMONDS; GASES</t>
  </si>
  <si>
    <t>[Ott, U.] Max Planck Inst Chem, D-55128 Mainz, Germany; [Huss, G. R.] Univ Hawaii Manoa, HIGP, Honolulu, HI 96822 USA</t>
  </si>
  <si>
    <t>Max Planck Society; University of Hawaii System; University of Hawaii Manoa</t>
  </si>
  <si>
    <t>WOS:000257683100227</t>
  </si>
  <si>
    <t>Ouazaa, N; Perchiazzi, N; Kassaa, S; Zeoli, A; Ghanmi, M; Folco, L</t>
  </si>
  <si>
    <t>Ouazaa, N.; Perchiazzi, N.; Kassaa, S.; Zeoli, A.; Ghanmi, M.; Folco, L.</t>
  </si>
  <si>
    <t>Meteorite finds from southern Tunisia</t>
  </si>
  <si>
    <t>CLASSIFICATION</t>
  </si>
  <si>
    <t>[Ouazaa, N.; Kassaa, S.; Ghanmi, M.] Fac Sci Tunis, Dept Geol, Tunis 1060, Tunisia; [Perchiazzi, N.] Univ Pisa, Dipartimento Sci Terra, I-56126 Pisa, Italy; [Zeoli, A.; Folco, L.] Univ Siena, Museo Nazl Antartide, I-53100 Siena, Italy</t>
  </si>
  <si>
    <t>Universite de Tunis-El-Manar; Faculte des Sciences de Tunis (FST); University of Pisa; University of Siena</t>
  </si>
  <si>
    <t>nejia_ouazaa@yahoo.fr</t>
  </si>
  <si>
    <t>Folco, Luigi/AAB-8586-2021; Perchiazzi, Natale/A-9578-2018; Folco, Luigi/AAA-6351-2020</t>
  </si>
  <si>
    <t>Perchiazzi, Natale/0000-0003-3229-2282;</t>
  </si>
  <si>
    <t>A126</t>
  </si>
  <si>
    <t>WOS:000257683100229</t>
  </si>
  <si>
    <t>Ozawa, S; Ohtani, E; Suzuki, A; Miyahara, M; Terada, K; Kimura, M</t>
  </si>
  <si>
    <t>Ozawa, S.; Ohtani, E.; Suzuki, A.; Miyahara, M.; Terada, K.; Kimura, M.</t>
  </si>
  <si>
    <t>Pressure-temperature conditions and U-Pb ages of shock melt veins in L6 chondrites</t>
  </si>
  <si>
    <t>CONSTRAINTS</t>
  </si>
  <si>
    <t>[Ozawa, S.; Ohtani, E.; Suzuki, A.; Miyahara, M.] Tohoku Univ, Grad Sch Sci, Sendai, Miyagi 9808578, Japan; [Terada, K.] Hiroshima Univ, Higashihiroshima 7398526, Japan; [Kimura, M.] Ibaraki Univ, Fac Sci, Mito, Ibaraki 3108512, Japan</t>
  </si>
  <si>
    <t>Tohoku University; Hiroshima University; Ibaraki University</t>
  </si>
  <si>
    <t>ozawasin@ganko.tohoku.ac.jp</t>
  </si>
  <si>
    <t>Miyahara, Masaaki/AAP-9679-2020; Terada, Kentaro/AAN-5930-2021; Ohtani, Eiji/AAD-8011-2019; SUZUKI, Akio/AAP-1125-2020; Ozawa, Shin/AAF-5344-2019; Miyahara, Masaaki/AAQ-6557-2020</t>
  </si>
  <si>
    <t>Miyahara, Masaaki/0000-0002-4404-9813; SUZUKI, Akio/0000-0002-7093-6897; Miyahara, Masaaki/0000-0002-4404-9813</t>
  </si>
  <si>
    <t>WOS:000257683100230</t>
  </si>
  <si>
    <t>Park, CK; Ahn, I; Choi, BG; Lee, JI; Rubin, AE; Ziegler, K</t>
  </si>
  <si>
    <t>Park, C. K.; Ahn, I.; Choi, B. -G.; Lee, J. I.; Rubin, A. E.; Ziegler, K.</t>
  </si>
  <si>
    <t>Recovery and classification of 16 new Thiel Mountains meteorites by the second Korean expedition for Antarctic meteorites</t>
  </si>
  <si>
    <t>BULLETIN</t>
  </si>
  <si>
    <t>[Park, C. K.; Ahn, I.; Choi, B. -G.] SNU, Dept Earth Sci Edu, Seoul 151748, South Korea; [Park, C. K.; Ahn, I.; Lee, J. I.] Korea Polar Res Inst, Inchon, South Korea; [Choi, B. -G.; Rubin, A. E.] Univ Calif Los Angeles, Inst Geophys, Los Angeles, CA 90095 USA; [Ziegler, K.] Univ Calif Los Angeles, Dept Earth Space sci, Los Angeles, CA 90095 USA</t>
  </si>
  <si>
    <t>Seoul National University (SNU); Korea Institute of Ocean Science &amp; Technology (KIOST); Korea Polar Research Institute (KOPRI); University of California System; University of California Los Angeles; University of California System; University of California Los Angeles</t>
  </si>
  <si>
    <t>ckpark79@gmail.com</t>
  </si>
  <si>
    <t>WOS:000257683100353</t>
  </si>
  <si>
    <t>Park, J; Garrison, DH; Bogard, DD</t>
  </si>
  <si>
    <t>Park, J.; Garrison, D. H.; Bogard, D. D.</t>
  </si>
  <si>
    <t>39Ar-40Ar ages of the Nakhlites: A synthesis</t>
  </si>
  <si>
    <t>40AR-39AR</t>
  </si>
  <si>
    <t>[Park, J.; Garrison, D. H.; Bogard, D. D.] NASA, Lyndon B Johnson Space Ctr, ARES Code KR, Houston, TX 77058 USA; [Park, J.] NASA Postdoctoral Program, Houston, TX USA</t>
  </si>
  <si>
    <t>National Aeronautics &amp; Space Administration (NASA); NASA Johnson Space Center; National Aeronautics &amp; Space Administration (NASA)</t>
  </si>
  <si>
    <t>A127</t>
  </si>
  <si>
    <t>WOS:000257683100231</t>
  </si>
  <si>
    <t>Pearson, VK; Greenwood, RC; Verchovsky, AB; Turner, DC; Gilmour, I</t>
  </si>
  <si>
    <t>Pearson, V. K.; Greenwood, R. C.; Verchovsky, A. B.; Turner, D. C.; Gilmour, I.</t>
  </si>
  <si>
    <t>Carbon and nitrogen cosmochemistry of the CO3 group</t>
  </si>
  <si>
    <t>CHONDRITES; MINERALOGY; METEORITES; MATRIX</t>
  </si>
  <si>
    <t>[Pearson, V. K.; Greenwood, R. C.; Verchovsky, A. B.; Turner, D. C.; Gilmour, I.] Open Univ, Planetary &amp; Space Sci Res Inst, Milton Keynes MK7 6AA, Bucks, England</t>
  </si>
  <si>
    <t>v.k.pearsoii@open.ac.uk</t>
  </si>
  <si>
    <t>WOS:000257683100232</t>
  </si>
  <si>
    <t>Petrov, DV; Shkuratov, YG</t>
  </si>
  <si>
    <t>Petrov, D. V.; Shkuratov, Yu. G.</t>
  </si>
  <si>
    <t>Interpretation of remote sensing data with shmatrix method</t>
  </si>
  <si>
    <t>LIGHT-SCATTERING; PARTICLES</t>
  </si>
  <si>
    <t>[Petrov, D. V.; Shkuratov, Yu. G.] Kharkov Astron Observ, UA-61022 Kharkov, Ukraine</t>
  </si>
  <si>
    <t>Ministry of Education &amp; Science of Ukraine; VN Karazin Kharkiv National University</t>
  </si>
  <si>
    <t>petrov@astron.kharkov.ua</t>
  </si>
  <si>
    <t>A128</t>
  </si>
  <si>
    <t>WOS:000257683100233</t>
  </si>
  <si>
    <t>Poulet, F; Sautter, V; Mangold, N; Bibring, JP; Bardintzeff, JM; Platevoet, B; Langevin, Y; Gondet, B</t>
  </si>
  <si>
    <t>Poulet, F.; Sautter, V.; Mangold, N.; Bibring, J. -P.; Bardintzeff, J. -M.; Platevoet, B.; Langevin, Y.; Gondet, B.</t>
  </si>
  <si>
    <t>The martian surface revisited by mex/omega and implications for the formation of shergottites</t>
  </si>
  <si>
    <t>[Poulet, F.; Bibring, J. -P.; Langevin, Y.; Gondet, B.] Univ Paris 11, Inst Astrophys Spatiale, F-91405 Orsay, France; [Sautter, V.] Museum Natl Hist Nat, F-75231 Paris, France; [Mangold, N.; Bardintzeff, J. -M.; Platevoet, B.] Univ Paris 11, IDES, F-91405 Orsay, France</t>
  </si>
  <si>
    <t>Sorbonne Universite; Universite Paris Saclay; Museum National d'Histoire Naturelle (MNHN); Universite Paris Saclay</t>
  </si>
  <si>
    <t>francois.poulet@ias.u-psud.fr</t>
  </si>
  <si>
    <t>Mangold, Nicolas/HMV-9267-2023</t>
  </si>
  <si>
    <t>Mangold, Nicolas/0000-0002-0022-0631</t>
  </si>
  <si>
    <t>WOS:000257683100234</t>
  </si>
  <si>
    <t>Pucheta, FN; Cassino, FSL</t>
  </si>
  <si>
    <t>Pucheta, F. N.; Cassino, F. S. L.</t>
  </si>
  <si>
    <t>Brazilian meteorite patos de minas (octahedrite)</t>
  </si>
  <si>
    <t>A129</t>
  </si>
  <si>
    <t>WOS:000257683100235</t>
  </si>
  <si>
    <t>Quirico, E; Montagnac, G; Reynard, B</t>
  </si>
  <si>
    <t>Quirico, E.; Montagnac, G.; Reynard, B.</t>
  </si>
  <si>
    <t>UV Raman spectroscopy as a powerful tool for investigating insoluble organic matter of chondrites and cometary dust</t>
  </si>
  <si>
    <t>[Quirico, E.] Univ Grenoble 1, Lab Planetol Grenoble, CNRS, INSU BP53, F-38041 Grenoble 9, France; [Montagnac, G.; Reynard, B.] CNRS, LST Ecole Normale Super, F-69364 Lyon, France</t>
  </si>
  <si>
    <t>Centre National de la Recherche Scientifique (CNRS); Communaute Universite Grenoble Alpes; Universite Grenoble Alpes (UGA); Centre National de la Recherche Scientifique (CNRS)</t>
  </si>
  <si>
    <t>WOS:000257683100236</t>
  </si>
  <si>
    <t>Reddy, V; Kelley, MS; Emery, JP; Gaffey, MJ; Bottke, WF; Schaal, M; Cramer, AP; Takir, D</t>
  </si>
  <si>
    <t>Reddy, V.; Kelley, M. S.; Emery, J. P.; Gaffey, M. J.; Bottke, W. F.; Schaal, M.; Cramer, A. P.; Takir, D.</t>
  </si>
  <si>
    <t>Composition of baptistina asteroid family: implications for K-T impactor link</t>
  </si>
  <si>
    <t>EXTINCTION</t>
  </si>
  <si>
    <t>[Reddy, V.] Univ N Dakota, Dept ESSP, Grand Forks, ND 58201 USA; [Kelley, M. S.] NASA Headquarters, Washington, DC USA; [Emery, J. P.] Carl Sagan Ctr, Mountain View, CA USA; [Gaffey, M. J.; Takir, D.] UND, Dept Space Studies, Grand Forks, ND USA; [Bottke, W. F.] SWRI, Dept Space Studies, Boulder, CO USA; [Schaal, M.] UND, Dept Phys, Grand Forks, ND USA; [Cramer, A. P.] Georgia So Univ, Dept Geol, Statesboro, GA 30460 USA</t>
  </si>
  <si>
    <t>University of North Dakota Grand Forks; National Aeronautics &amp; Space Administration (NASA); Mary W. Jackson NASA Headquarters; University of North Dakota Grand Forks; Southwest Research Institute; University of North Dakota Grand Forks; University System of Georgia; Georgia Southern University</t>
  </si>
  <si>
    <t>A130</t>
  </si>
  <si>
    <t>WOS:000257683100237</t>
  </si>
  <si>
    <t>Reedy, RC</t>
  </si>
  <si>
    <t>Reedy, R. C.</t>
  </si>
  <si>
    <t>Cosmogenic argon isotopes: Cross sections and production rates</t>
  </si>
  <si>
    <t>[Reedy, R. C.] Univ New Mexico, Inst Meteorit, Albuquerque, NM 87131 USA</t>
  </si>
  <si>
    <t>rreedy@unm.edu</t>
  </si>
  <si>
    <t>WOS:000257683100238</t>
  </si>
  <si>
    <t>Reinhard, B; Lattard, D; Burchard, M; Trieloff, M; Dohmen, R; Klevenz, M; Pucci, A</t>
  </si>
  <si>
    <t>Reinhard, Bianca; Lattard, Dominique; Burchard, Michael; Trieloff, Mario; Dohmen, Ralf; Klevenz, Markus; Pucci, Annemarie</t>
  </si>
  <si>
    <t>Laboratory experiments on the kinetics of thermal annealing of dust in proto-planetary disks</t>
  </si>
  <si>
    <t>[Reinhard, Bianca; Lattard, Dominique; Burchard, Michael; Trieloff, Mario] Univ Heidelberg, Inst Mineral, D-69120 Heidelberg, Germany; [Dohmen, Ralf] Ruhr Univ Bochum, Inst Geol Mineral &amp; Geophys, D-44780 Bochum, Germany; [Klevenz, Markus; Pucci, Annemarie] Univ Heidelberg, Kirchhoff Inst Phys, D-69120 Heidelberg, Germany</t>
  </si>
  <si>
    <t>Ruprecht Karls University Heidelberg; Ruhr University Bochum; Ruprecht Karls University Heidelberg</t>
  </si>
  <si>
    <t>Dohmen, Ralf/M-2320-2017</t>
  </si>
  <si>
    <t>A131</t>
  </si>
  <si>
    <t>WOS:000257683100239</t>
  </si>
  <si>
    <t>Righter, K; Meyer, C; Allton, J; Warren, J; Schwarz, C; Clemett, S; Wentworth, S; McNamara, K</t>
  </si>
  <si>
    <t>Righter, K.; Meyer, C.; Allton, J.; Warren, J.; Schwarz, C.; Clemett, S.; Wentworth, S.; McNamara, K.</t>
  </si>
  <si>
    <t>Contamination sources associated with collection and curation of Antarctic meteorites: JSC lessons learned since 1976</t>
  </si>
  <si>
    <t>[Righter, K.; Meyer, C.; Allton, J.; Warren, J.; Schwarz, C.; Clemett, S.; Wentworth, S.; McNamara, K.] NASA, Lyndon B Johnson Space Ctr, Astromat Curat KT, Houston, TX 77058 USA</t>
  </si>
  <si>
    <t>kevin.righter-1@nasa.gov</t>
  </si>
  <si>
    <t>A189</t>
  </si>
  <si>
    <t>WOS:000257683100354</t>
  </si>
  <si>
    <t>Righter, K; Danielson, LR</t>
  </si>
  <si>
    <t>Righter, K.; Danielson, L. R.</t>
  </si>
  <si>
    <t>Are shergottites sulfide-saturated?</t>
  </si>
  <si>
    <t>SILICATE MELTS; SULFUR; MAGMAS; MARS</t>
  </si>
  <si>
    <t>[Righter, K.; Danielson, L. R.] NASA, Lyndon B Johnson Space Ctr, Mailcode KT, Houston, TX 77058 USA</t>
  </si>
  <si>
    <t>WOS:000257683100240</t>
  </si>
  <si>
    <t>Righter, M; Lapen, TJ; Righter, K; Brandon, A</t>
  </si>
  <si>
    <t>Righter, M.; Lapen, T. J.; Righter, K.; Brandon, A.</t>
  </si>
  <si>
    <t>Partitioning of HF between chromite and silicate melts: Implications for lu-hf isotopic systematics of martian meteorite ALH 84001</t>
  </si>
  <si>
    <t>SPINEL</t>
  </si>
  <si>
    <t>[Righter, M.; Lapen, T. J.] Univ Houston, Dept Geosci, Houston, TX 77204 USA; [Righter, K.; Brandon, A.] NASA, Lyndon B Johnson Space Ctr, Houston, TX 77058 USA</t>
  </si>
  <si>
    <t>University of Houston System; University of Houston; National Aeronautics &amp; Space Administration (NASA); NASA Johnson Space Center</t>
  </si>
  <si>
    <t>Lapen, Thomas/JEP-5171-2023</t>
  </si>
  <si>
    <t>Righter, Minako/0000-0002-9299-9733</t>
  </si>
  <si>
    <t>A132</t>
  </si>
  <si>
    <t>WOS:000257683100241</t>
  </si>
  <si>
    <t>Robin, C; Quirico, E; Bourot-Denise, M; Montagnac, G</t>
  </si>
  <si>
    <t>Robin, C.; Quirico, E.; Bourot-Denise, M.; Montagnac, G.</t>
  </si>
  <si>
    <t>Metamorphic grades of enstatite chondrites as revealed by carbonaceous matter</t>
  </si>
  <si>
    <t>[Robin, C.; Quirico, E.] Univ Grenoble 1, Lab Planetol, CNRS, INSU BP53, F-38041 Grenoble 9, France; [Bourot-Denise, M.] LEME MNHN, F-75231 Paris, France; [Montagnac, G.] CNRS, LST Ecole Normale Super, F-69364 Lyon 7, France</t>
  </si>
  <si>
    <t>Communaute Universite Grenoble Alpes; Universite Grenoble Alpes (UGA); Centre National de la Recherche Scientifique (CNRS); Museum National d'Histoire Naturelle (MNHN); Centre National de la Recherche Scientifique (CNRS)</t>
  </si>
  <si>
    <t>WOS:000257683100242</t>
  </si>
  <si>
    <t>Rochette, P; Gattacceca, J; Ivanov, A; Nazarov, M; Bezaeva, N</t>
  </si>
  <si>
    <t>Rochette, P.; Gattacceca, J.; Ivanov, A.; Nazarov, M.; Bezaeva, N.</t>
  </si>
  <si>
    <t>Magnetic properties of lunar materials: Comparison between meteorites and sample return</t>
  </si>
  <si>
    <t>[Rochette, P.; Gattacceca, J.; Bezaeva, N.] Aix Marseille Univ, CNRS, CEREGE, Aix En Provence, France; [Ivanov, A.; Nazarov, M.] Russian Acad Sci, Vernadsky Inst, Moscow, Russia; [Bezaeva, N.] Moscow MV Lomonosov State Univ, Fac Phys, Moscow, Russia</t>
  </si>
  <si>
    <t>Aix-Marseille Universite; Centre National de la Recherche Scientifique (CNRS); Russian Academy of Sciences; Vernadsky Institute of Geochemistry &amp; Analytical Chemistry; Lomonosov Moscow State University</t>
  </si>
  <si>
    <t>Gattacceca, Jerome/AAG-5651-2019; Bezaeva, Natalia S./F-1213-2017</t>
  </si>
  <si>
    <t>Gattacceca, Jerome/0000-0002-1639-7140;</t>
  </si>
  <si>
    <t>A133</t>
  </si>
  <si>
    <t>WOS:000257683100243</t>
  </si>
  <si>
    <t>Roth, ASG; Baur, H; Heber, VS; Reusser, E; Wieler, R</t>
  </si>
  <si>
    <t>Roth, A. S. G.; Baur, H.; Heber, V. S.; Reusser, E.; Wieler, R.</t>
  </si>
  <si>
    <t>Exposure ages of chondrules in allende and murchison</t>
  </si>
  <si>
    <t>[Roth, A. S. G.; Baur, H.; Heber, V. S.; Reusser, E.; Wieler, R.] ETH, CH-8092 Zurich, Switzerland</t>
  </si>
  <si>
    <t>Swiss Federal Institutes of Technology Domain; ETH Zurich</t>
  </si>
  <si>
    <t>rotha@student.ethz.ch</t>
  </si>
  <si>
    <t>WOS:000257683100244</t>
  </si>
  <si>
    <t>Rout, SS; Bischoff, A</t>
  </si>
  <si>
    <t>Rout, S. S.; Bischoff, A.</t>
  </si>
  <si>
    <t>Chemical composition of Ca, Al-rich inclusions in Rumuruti (R) chondrites</t>
  </si>
  <si>
    <t>[Rout, S. S.; Bischoff, A.] Univ Munster, Inst Planetol, D-48149 Munster, Germany</t>
  </si>
  <si>
    <t>suryarout@uni-muenster.de</t>
  </si>
  <si>
    <t>A134</t>
  </si>
  <si>
    <t>WOS:000257683100245</t>
  </si>
  <si>
    <t>Rubin, AE; Griset, CD; Choi, BG; Wasson, JT</t>
  </si>
  <si>
    <t>Rubin, A. E.; Griset, C. D.; Choi, B. -G.; Wasson, J. T.</t>
  </si>
  <si>
    <t>Clastic matrix in the Y-691 EH3 chondrite</t>
  </si>
  <si>
    <t>[Rubin, A. E.; Choi, B. -G.; Wasson, J. T.] Univ Calif Los Angeles, Inst Geophys, Los Angeles, CA 90095 USA; [Griset, C. D.] CALTECH, Dept Phys, Pasadena, CA 91125 USA; [Choi, B. -G.] SNU, Dept Earth Sci, Seoul 152748, South Korea</t>
  </si>
  <si>
    <t>University of California System; University of California Los Angeles; California Institute of Technology; Seoul National University (SNU)</t>
  </si>
  <si>
    <t>aerubin@ucla.edu</t>
  </si>
  <si>
    <t>A135</t>
  </si>
  <si>
    <t>WOS:000257683100247</t>
  </si>
  <si>
    <t>Rubin, AE; Matson, RD</t>
  </si>
  <si>
    <t>Rubin, Alan E.; Matson, Robert D.</t>
  </si>
  <si>
    <t>Mojave dry lake constraints on the flux of meteorites to the Earth</t>
  </si>
  <si>
    <t>CALIFORNIA; MASS</t>
  </si>
  <si>
    <t>[Rubin, Alan E.] Univ Calif Los Angeles, Inst Geophys, Los Angeles, CA 90095 USA; [Matson, Robert D.] Sci Applicat Int Corp, Seal Beach, CA 90740 USA</t>
  </si>
  <si>
    <t>University of California System; University of California Los Angeles; Science Applications International Corporation (SAIC)</t>
  </si>
  <si>
    <t>WOS:000257683100355</t>
  </si>
  <si>
    <t>Ruzicka, A; Schepker, TJ</t>
  </si>
  <si>
    <t>Ruzicka, A.; Schepker, T. J.</t>
  </si>
  <si>
    <t>Trace-element analyses of pyroxene and plagioclase in three HED meteorites</t>
  </si>
  <si>
    <t>EUCRITES</t>
  </si>
  <si>
    <t>[Ruzicka, A.; Schepker, T. J.] Portland State Univ, Dept Geol, Cascadia Meteorite Lab, Portland, OR 97207 USA</t>
  </si>
  <si>
    <t>Portland State University</t>
  </si>
  <si>
    <t>ruzickaa@pdx.edu</t>
  </si>
  <si>
    <t>WOS:000257683100248</t>
  </si>
  <si>
    <t>Rzsa, P; Uzonyi, I; Szoor, GY; Pelicon, P; Simcic, J; Cserhati, CS; Daroczi, L; Gucsik, A; Szabo, GY; Kiss, AZ</t>
  </si>
  <si>
    <t>Rzsa, P.; Uzonyi, I.; Szoor, G. Y.; Pelicon, P.; Simcic, J.; Cserhati, C. S.; Daroczi, L.; Gucsik, A.; Szabo, G. Y.; Kiss, A. Z.</t>
  </si>
  <si>
    <t>Study on impact materials around the barringer meteor crater by ED-SEM and MICRO-PIXE techniques</t>
  </si>
  <si>
    <t>[Rzsa, P.; Szoor, G. Y.] Univ Debrecen, Dept Geol &amp; Mineral, H-4032 Debrecen, Hungary; [Uzonyi, I.; Szabo, G. Y.; Kiss, A. Z.] Hungarian Acad Sci, Inst Nucl Res, H-4026 Debrecen, Hungary; [Pelicon, P.; Simcic, J.] Jozef Stefan Inst, Microanalyt Ctr, SI-1001 Ljubljana, Slovenia; [Cserhati, C. S.; Daroczi, L.] Univ Debrecen, Dept Solid State Phys, H-4026 Debrecen, Hungary; [Gucsik, A.] Max Planck Inst Chem, Dept Geochem, D-55128 Mainz, Germany</t>
  </si>
  <si>
    <t>University of Debrecen; Hungarian Academy of Sciences; Hungarian Research Network; HUN-REN Institute for Nuclear Research; Slovenian Academy of Sciences &amp; Arts (SASA); Jozef Stefan Institute; University of Debrecen; Max Planck Society</t>
  </si>
  <si>
    <t>rozsap@puma.unideb.hu</t>
  </si>
  <si>
    <t>Gucsik, Arnold/G-3570-2016; Cserháti, Csaba/A-9544-2013; Rozsa, Peter/B-4898-2008</t>
  </si>
  <si>
    <t>WOS:000257683100246</t>
  </si>
  <si>
    <t>Saiki, K; Okuno, H</t>
  </si>
  <si>
    <t>Saiki, K.; Okuno, H.</t>
  </si>
  <si>
    <t>Study of chemical evolution of lava flows in mare serenitatis using hyper spectral data</t>
  </si>
  <si>
    <t>[Saiki, K.; Okuno, H.] Osaka Univ, Grad Sch Sci, Dept Earth &amp; Space Sci, Osaka, Japan</t>
  </si>
  <si>
    <t>Icsaiki@ess.sci.osaka-u.ac.jp</t>
  </si>
  <si>
    <t>A136</t>
  </si>
  <si>
    <t>WOS:000257683100249</t>
  </si>
  <si>
    <t>Sakamoto, K; Nakamura, T; Noguchi, T; Tsuchiyama, A</t>
  </si>
  <si>
    <t>Sakamoto, K.; Nakamura, T.; Noguchi, T.; Tsuchiyama, A.</t>
  </si>
  <si>
    <t>Possible mineralogical variation of D-TYPE asteroids deduced from new type hydrous micrometeorites collected from Antarctic snow</t>
  </si>
  <si>
    <t>TAGISH LAKE</t>
  </si>
  <si>
    <t>[Sakamoto, K.; Nakamura, T.] Kyushu Univ, Dept Earth &amp; Planetary Sci, Fukuoka 8128581, Japan; [Noguchi, T.] Ibaraki Univ, Dept Mat &amp; Biol Sci, Mito, Ibaraki 3108581, Japan; [Tsuchiyama, A.] Osaka Univ, Grad Sch Sci, Dept Earth &amp; Space Sci, Toyonaka, Osaka 5600043, Japan</t>
  </si>
  <si>
    <t>Kyushu University; Ibaraki University; Osaka University</t>
  </si>
  <si>
    <t>kanako@geo.kyushu-u.ac.jp</t>
  </si>
  <si>
    <t>WOS:000257683100250</t>
  </si>
  <si>
    <t>Sanders, I</t>
  </si>
  <si>
    <t>Sanders, Ian</t>
  </si>
  <si>
    <t>Do CAIs have a giant impact origin?</t>
  </si>
  <si>
    <t>EARLY SOLAR-SYSTEM; REFRACTORY INCLUSIONS; METEORITES; CHONDRULES; CHONDRITES</t>
  </si>
  <si>
    <t>[Sanders, Ian] Univ Dublin Trinity Coll, Dept Geol, Dublin 2, Ireland</t>
  </si>
  <si>
    <t>Trinity College Dublin</t>
  </si>
  <si>
    <t>isanders@tcd.ie</t>
  </si>
  <si>
    <t>A137</t>
  </si>
  <si>
    <t>WOS:000257683100251</t>
  </si>
  <si>
    <t>Sasaki, S; Hiroi, T</t>
  </si>
  <si>
    <t>Sasaki, S.; Hiroi, T.</t>
  </si>
  <si>
    <t>Difference of space weathering degree on asteroids of various sizes</t>
  </si>
  <si>
    <t>LUNAR REGOLITH</t>
  </si>
  <si>
    <t>[Sasaki, S.] Natl Astron Observ Japan, RISE Project, Mizusawa, Iwate 0230861, Japan; [Hiroi, T.] Brown Univ, Dept Geol Sci, Providence, RI 02912 USA</t>
  </si>
  <si>
    <t>National Institutes of Natural Sciences (NINS) - Japan; National Astronomical Observatory of Japan (NAOJ); Brown University</t>
  </si>
  <si>
    <t>sho@miz.nao.ac.jp</t>
  </si>
  <si>
    <t>Sasaki, Sho/S-3845-2019</t>
  </si>
  <si>
    <t>Sasaki, Sho/0000-0002-7646-5248</t>
  </si>
  <si>
    <t>WOS:000257683100252</t>
  </si>
  <si>
    <t>Schaefer, L; Fegley, B</t>
  </si>
  <si>
    <t>Schaefer, Laura; Fegley, Bruce, Jr.</t>
  </si>
  <si>
    <t>Chemistry during accretion of the earth. II. Rockforming elements in the steam atmosphere</t>
  </si>
  <si>
    <t>[Schaefer, Laura; Fegley, Bruce, Jr.] Washington Univ, Dept Earth &amp; Planetary Sci, Planetary Chem Lab, St Louis, MO 63130 USA</t>
  </si>
  <si>
    <t>laura_s@wustl.edu; bfegley@wustl.edu</t>
  </si>
  <si>
    <t>A138</t>
  </si>
  <si>
    <t>WOS:000257683100253</t>
  </si>
  <si>
    <t>Schmidt, G</t>
  </si>
  <si>
    <t>Schmidt, G.</t>
  </si>
  <si>
    <t>The influence of impactors on the chemical composition of earth and mars</t>
  </si>
  <si>
    <t>HIGHLY SIDEROPHILE ELEMENTS</t>
  </si>
  <si>
    <t>[Schmidt, G.] Max Planck Inst Chem, D-55128 Mainz, Germany</t>
  </si>
  <si>
    <t>schmdtgerhard@aol.com</t>
  </si>
  <si>
    <t>Schmidt, Gerhard/0000-0001-5487-8917</t>
  </si>
  <si>
    <t>WOS:000257683100254</t>
  </si>
  <si>
    <t>Schönbächler, M; Baker, RGA; Williams, H; Halliday, AN; Rehkämper, M</t>
  </si>
  <si>
    <t>Schoenbaechler, M.; Baker, R. G. A.; Williams, H.; Halliday, A. N.; Rehkaemper, M.</t>
  </si>
  <si>
    <t>The cadmium isotope composition of chondrites and eucrites</t>
  </si>
  <si>
    <t>[Schoenbaechler, M.; Baker, R. G. A.] Univ Manchester, SEAES, Manchester M13 9PL, Lancs, England; [Schoenbaechler, M.; Rehkaemper, M.] Univ London Imperial Coll Sci Technol &amp; Med, IARC, London SW7 2AZ, England; [Williams, H.; Halliday, A. N.] Univ Oxford, Dept Earth Sci, Oxford OX1 4BH, England</t>
  </si>
  <si>
    <t>University of Manchester; Imperial College London; Natural History Museum London; University of Oxford</t>
  </si>
  <si>
    <t>m.schonbachler@manchester.ac.uk</t>
  </si>
  <si>
    <t>Halliday, Alexander/JHT-5272-2023</t>
  </si>
  <si>
    <t>Halliday, Alexander/0000-0002-3797-6918</t>
  </si>
  <si>
    <t>Science and Technology Facilities Council [PP/D001250/1] Funding Source: researchfish</t>
  </si>
  <si>
    <t>A139</t>
  </si>
  <si>
    <t>WOS:000257683100255</t>
  </si>
  <si>
    <t>Schulte, P; Deutsch, A</t>
  </si>
  <si>
    <t>Schulte, P.; Deutsch, A.</t>
  </si>
  <si>
    <t>Odp leg207-a surprisingly pristine K-T boundary. I - Sedimentology, mineralogy, Sr-Nd isotope sytematics</t>
  </si>
  <si>
    <t>[Schulte, P.] Univ Erlangen Nurnberg, Geozentrum Nordbayern, D-91054 Erlangen, Germany; [Deutsch, A.] Univ Munster, Inst Planetol, D-48149 Munster, Germany</t>
  </si>
  <si>
    <t>University of Erlangen Nuremberg; University of Munster</t>
  </si>
  <si>
    <t>WOS:000257683100256</t>
  </si>
  <si>
    <t>Schulz, T; Münker, C; Palme, H; Mezger, K</t>
  </si>
  <si>
    <t>Schulz, T.; Muenker, C.; Palme, H.; Mezger, K.</t>
  </si>
  <si>
    <t>Thermal evolution of primitive achondrite parent bodies</t>
  </si>
  <si>
    <t>[Schulz, T.; Muenker, C.] Univ Bonn, Mineral Petrol Inst, D-53115 Bonn, Germany; [Muenker, C.; Palme, H.] Univ Cologne, Inst Geol &amp; Mineral, D-50674 Cologne, Germany; [Mezger, K.] Univ Munster, Inst Mineral, Zentrallabor Geochronol, D-48149 Munster, Germany</t>
  </si>
  <si>
    <t>University of Bonn; University of Cologne; University of Munster</t>
  </si>
  <si>
    <t>Munker, Carsten/O-7606-2015; Mezger, Klaus/D-9502-2011</t>
  </si>
  <si>
    <t>Mezger, Klaus/0000-0002-2443-8539</t>
  </si>
  <si>
    <t>A140</t>
  </si>
  <si>
    <t>WOS:000257683100257</t>
  </si>
  <si>
    <t>Schwenzer, SP; Herrmann, S; Ott, U</t>
  </si>
  <si>
    <t>Schwenzer, S. P.; Herrmann, S.; Ott, U.</t>
  </si>
  <si>
    <t>Noble gases in two Shergottites and a Aakhlite from Antarctica: Y-000027, Y-000097, and Y-000593</t>
  </si>
  <si>
    <t>MARTIAN METEORITES</t>
  </si>
  <si>
    <t>[Schwenzer, S. P.] USRA, Lunar &amp; Planetary Inst, Houston, TX 77058 USA; [Schwenzer, S. P.; Herrmann, S.; Ott, U.] Max Planck Inst Chem, D-55128 Mainz, Germany</t>
  </si>
  <si>
    <t>schwenzer@lpi.usra.edu</t>
  </si>
  <si>
    <t>WOS:000257683100258</t>
  </si>
  <si>
    <t>Scorzelli, RB; Munayco, P; Varela, ME</t>
  </si>
  <si>
    <t>Scorzelli, R. B.; Munayco, P.; Varela, M. E.</t>
  </si>
  <si>
    <t>Fe2+ disorder study in pyroxene from the shergotty meteorite by Mossbauer spectroscopy</t>
  </si>
  <si>
    <t>PETROGRAPHY</t>
  </si>
  <si>
    <t>[Scorzelli, R. B.; Munayco, P.] CBPF MCT, BR-22290180 Rio De Janeiro, Brazil; [Varela, M. E.] CASLEO, San Juan, Argentina</t>
  </si>
  <si>
    <t>Centro Brasileiro de Pesquisas Fisicas</t>
  </si>
  <si>
    <t>scorza@cbpf.br</t>
  </si>
  <si>
    <t>Munayco, Pablo/H-8193-2012; Munayco, Pablo/AAG-6508-2019; Scorzelli, Rosa/AAU-6837-2021</t>
  </si>
  <si>
    <t>Munayco, Pablo/0000-0003-0961-4626; Munayco, Pablo/0000-0003-0961-4626;</t>
  </si>
  <si>
    <t>A141</t>
  </si>
  <si>
    <t>WOS:000257683100259</t>
  </si>
  <si>
    <t>Scott, ERD</t>
  </si>
  <si>
    <t>Scott, Edward R. D.</t>
  </si>
  <si>
    <t>Meteorite parent bodies: what can they tell us about the formation and evolution of the asteroid belt?</t>
  </si>
  <si>
    <t>[Scott, Edward R. D.] Univ Hawaii, Hawaii Inst Geophys &amp; Planetol, Honolulu, HI 96822 USA</t>
  </si>
  <si>
    <t>University of Hawaii System</t>
  </si>
  <si>
    <t>escott@hawaii.edu</t>
  </si>
  <si>
    <t>WOS:000257683100260</t>
  </si>
  <si>
    <t>Sears, DWG; Sedaghatpour, F; Craig, J</t>
  </si>
  <si>
    <t>Sears, D. W. G.; Sedaghatpour, F.; Craig, J.</t>
  </si>
  <si>
    <t>Thermoluminescence as a technique for determining the nature and history of small particles</t>
  </si>
  <si>
    <t>ORDINARY CHONDRITES; METEORITES</t>
  </si>
  <si>
    <t>[Sears, D. W. G.; Sedaghatpour, F.; Craig, J.] Univ Arkansas, Arkansas Ctr Space &amp; Planetary Sci, Fayetteville, AR 72701 USA</t>
  </si>
  <si>
    <t>University of Arkansas System; University of Arkansas Fayetteville</t>
  </si>
  <si>
    <t>dsears@uark.edu</t>
  </si>
  <si>
    <t>A142</t>
  </si>
  <si>
    <t>WOS:000257683100262</t>
  </si>
  <si>
    <t>Sears, DWG; Gietzen, K; Ostrowski, D; Lacy, C; Chevrier, V</t>
  </si>
  <si>
    <t>Sears, D. W. G.; Gietzen, K.; Ostrowski, D.; Lacy, C.; Chevrier, V.</t>
  </si>
  <si>
    <t>Primitive materials on asteroids</t>
  </si>
  <si>
    <t>OUTER-BELT; SPECTRA</t>
  </si>
  <si>
    <t>[Sears, D. W. G.; Gietzen, K.; Ostrowski, D.; Lacy, C.; Chevrier, V.] Univ Arkansas, Arkansas Ctr Space &amp; Planetary Sci, Fayetteville, AR 72701 USA</t>
  </si>
  <si>
    <t>WOS:000257683100261</t>
  </si>
  <si>
    <t>Seto, Y; Sakamoto, N; Fujino, K; Yurimoto, H</t>
  </si>
  <si>
    <t>Seto, Y.; Sakamoto, N.; Fujino, K.; Yurimoto, H.</t>
  </si>
  <si>
    <t>Chemistry and microstructure, of cos from Acfer 094 carbonaceous chondrite</t>
  </si>
  <si>
    <t>[Seto, Y.; Fujino, K.; Yurimoto, H.] Hokkaido Univ, Dept Nat Hist Sci, Sapporo, Hokkaido 0600810, Japan; [Sakamoto, N.; Yurimoto, H.] Hokkaido Univ, Isotope Imaging Lab, Sapporo, Hokkaido 0010021, Japan</t>
  </si>
  <si>
    <t>Hokkaido University; Hokkaido University</t>
  </si>
  <si>
    <t>seto@mail.sci.hokudai.ac.jp</t>
  </si>
  <si>
    <t>Seto, Yusuke/D-5751-2015; Yurimoto, Hisayoshi/S-9938-2018</t>
  </si>
  <si>
    <t>A143</t>
  </si>
  <si>
    <t>WOS:000257683100263</t>
  </si>
  <si>
    <t>Sharp, TG; Xie, Z; De Carli, PS</t>
  </si>
  <si>
    <t>Sharp, T. G.; Xie, Z.; De Carli, P. S.</t>
  </si>
  <si>
    <t>Shock veins in L6 chondrites and constraints on the impact history of the L6 parent body</t>
  </si>
  <si>
    <t>HIGH-PRESSURE PHASES; INDUCED MELT VEIN; CLUES</t>
  </si>
  <si>
    <t>[Sharp, T. G.] Arizona State Univ, Sch Earth &amp; Space Explorat, Tempe, AZ 85287 USA; [Xie, Z.; De Carli, P. S.] Nanjing Univ, Nanjing 210008, Peoples R China; SRI Int, Menlo Pk, CA 94025 USA</t>
  </si>
  <si>
    <t>Arizona State University; Arizona State University-Tempe; Nanjing University; SRI International</t>
  </si>
  <si>
    <t>tom.sharp@asu.edu; zhidongx@nju.edu.cn; paul.decarli@sri.com</t>
  </si>
  <si>
    <t>WOS:000257683100264</t>
  </si>
  <si>
    <t>Shirai, N; Humayun, M; Righter, K</t>
  </si>
  <si>
    <t>Shirai, N.; Humayun, M.; Righter, K.</t>
  </si>
  <si>
    <t>Moderately siderophile element abundances in angrites</t>
  </si>
  <si>
    <t>DORBIGNY</t>
  </si>
  <si>
    <t>[Shirai, N.; Humayun, M.] Florida State Univ, Natl High Magnet Field Lab, Tallahassee, FL 32310 USA; [Shirai, N.; Humayun, M.] Florida State Univ, Dept Geol Sci, Tallahassee, FL 32310 USA; [Righter, K.] NASA, Lyndon B Johnson Space Ctr, Houston, TX 77058 USA</t>
  </si>
  <si>
    <t>State University System of Florida; Florida State University; State University System of Florida; Florida State University; National Aeronautics &amp; Space Administration (NASA); NASA Johnson Space Center</t>
  </si>
  <si>
    <t>shirai@magnet.fsu.edu</t>
  </si>
  <si>
    <t>Humayun, Munir/A-1247-2007</t>
  </si>
  <si>
    <t>A144</t>
  </si>
  <si>
    <t>WOS:000257683100266</t>
  </si>
  <si>
    <t>Shirai, N; Ebihara, M</t>
  </si>
  <si>
    <t>Shirai, N.; Ebihara, M.</t>
  </si>
  <si>
    <t>Constraints on the magmatism of mars inferred from chemical compositions and radiogenic isotopic compositions of shergottites</t>
  </si>
  <si>
    <t>SYSTEMATICS</t>
  </si>
  <si>
    <t>[Shirai, N.; Ebihara, M.] Tokyo Metropolitan Univ, Grad Sch Sci, Dept Chem, Tokyo 1920397, Japan</t>
  </si>
  <si>
    <t>Tokyo Metropolitan University</t>
  </si>
  <si>
    <t>WOS:000257683100265</t>
  </si>
  <si>
    <t>Shirao, M; Haruyama, J; Takeda, H; Ohtake, M; Matsunaga, T</t>
  </si>
  <si>
    <t>Shirao, Motomaro; Haruyama, Junichi; Takeda, Hiroshi; Ohtake, Makiko; Matsunaga, Tsuneo</t>
  </si>
  <si>
    <t>LISM Working Grp</t>
  </si>
  <si>
    <t>Applications of kaguya's terrain camera images to promotion of scientific education and geological researches</t>
  </si>
  <si>
    <t>[Takeda, Hiroshi] Univ Tokyo, Dept Earth &amp; Planetary Sci, Tokyo 1130033, Japan</t>
  </si>
  <si>
    <t>motomaro@ga2.so-net.ne.jp</t>
  </si>
  <si>
    <t>A145</t>
  </si>
  <si>
    <t>WOS:000257683100267</t>
  </si>
  <si>
    <t>Spencer, LM; McKay, DS; Gibson, EK; Thomas-Keprta, KL; Wentworth, SJ; Clemett, SJ</t>
  </si>
  <si>
    <t>Spencer, L. M.; McKay, D. S.; Gibson, E. K.; Thomas-Keprta, K. L.; Wentworth, S. J.; Clemett, S. J.</t>
  </si>
  <si>
    <t>Observation and analysis of martian meteorite y000593: Evidence of biosignatures</t>
  </si>
  <si>
    <t>[Spencer, L. M.; Thomas-Keprta, K. L.; Wentworth, S. J.; Clemett, S. J.] NASA, Lyndon B Johnson Space Ctr, ESC Grp, Houston, TX 77058 USA</t>
  </si>
  <si>
    <t>WOS:000257683100268</t>
  </si>
  <si>
    <t>Srinivasan, G; Chaussidon, M</t>
  </si>
  <si>
    <t>Srinivasan, G.; Chaussidon, M.</t>
  </si>
  <si>
    <t>Constraints on early evolution of solar nebula from 26Al abundance in efremovka CAIs</t>
  </si>
  <si>
    <t>[Srinivasan, G.] Univ Toronto, Dept Geol, Toronto, ON M5S 3B1, Canada; [Chaussidon, M.] CRPG CNRA, F-54501 Vandoeuvre Les Nancy, France</t>
  </si>
  <si>
    <t>University of Toronto</t>
  </si>
  <si>
    <t>srini@geology.utoronto.ca; chocho@crpg.cnrs-nancy.fr</t>
  </si>
  <si>
    <t>A146</t>
  </si>
  <si>
    <t>WOS:000257683100270</t>
  </si>
  <si>
    <t>Srinivasan, G</t>
  </si>
  <si>
    <t>Srinivasan, G.</t>
  </si>
  <si>
    <t>Research on extraterrestrial samples in large public insitutions 1: Challenges to lab integrity and solutions</t>
  </si>
  <si>
    <t>[Srinivasan, G.] Univ Toronto, Dept Geol, Toronto, ON M5S 3B1, Canada</t>
  </si>
  <si>
    <t>srini@geology.utoronto.ca</t>
  </si>
  <si>
    <t>WOS:000257683100269</t>
  </si>
  <si>
    <t>Stadermann, FJ; Floss, C</t>
  </si>
  <si>
    <t>Stadermann, F. J.; Floss, C.</t>
  </si>
  <si>
    <t>Determining the elemental and isotopic makeup of cosmic dust from residues in impact craters: Preparation for the ISPE</t>
  </si>
  <si>
    <t>COMETARY MATTER; STARDUST; FEATURES; WILD-2</t>
  </si>
  <si>
    <t>[Stadermann, F. J.; Floss, C.] Washington Univ, Dept Phys, Space Sci Lab, St Louis, MO 63130 USA</t>
  </si>
  <si>
    <t>fjs@wuphys.wustl.edu</t>
  </si>
  <si>
    <t>A147</t>
  </si>
  <si>
    <t>WOS:000257683100271</t>
  </si>
  <si>
    <t>Stephan, T; van der Bogert, CH</t>
  </si>
  <si>
    <t>Stephan, T.; van der Bogert, C. H.</t>
  </si>
  <si>
    <t>Chemical and mineralogical properties of cometary samples captured by stardust</t>
  </si>
  <si>
    <t>[Stephan, T.] Univ Chicago, Dept Geophys Sci, Chicago, IL 60637 USA; [van der Bogert, C. H.] Inst Planetol, D-48149 Munster, Germany</t>
  </si>
  <si>
    <t>tstephan@uchicago.edu</t>
  </si>
  <si>
    <t>Stephan, Thomas/C-1023-2008</t>
  </si>
  <si>
    <t>Stephan, Thomas/0000-0001-6377-8731</t>
  </si>
  <si>
    <t>WOS:000257683100272</t>
  </si>
  <si>
    <t>Strait, MM; Consolmagno, GJ</t>
  </si>
  <si>
    <t>Strait, M. M.; Consolmagno, G. J.</t>
  </si>
  <si>
    <t>Microcrack porosity in beaver creek and menow, high-porosity ordinary chondrites</t>
  </si>
  <si>
    <t>DENSITY</t>
  </si>
  <si>
    <t>[Strait, M. M.] Alma Coll, Alma, MI 48801 USA</t>
  </si>
  <si>
    <t>A148</t>
  </si>
  <si>
    <t>WOS:000257683100273</t>
  </si>
  <si>
    <t>Stroud, RM; Nguyen, AN; Alexander, CMO; Nittler, LR; Stadermann, FJ</t>
  </si>
  <si>
    <t>Stroud, R. M.; Nguyen, A. N.; Alexander, C. M. O'D.; Nittler, L. R.; Stadermann, F. J.</t>
  </si>
  <si>
    <t>Transmission electron microscopy of in situ presolar silicates in Allan hills 77307</t>
  </si>
  <si>
    <t>[Stroud, R. M.] USN, Res Lab, Washington, DC 20375 USA; [Nguyen, A. N.; Alexander, C. M. O'D.; Nittler, L. R.] Carnegie Inst Washington, Dept Terr Magnetism, Washington, DC 20015 USA; [Stadermann, F. J.] Washington Univ, Space Sci Lab, St Louis, MO 63130 USA</t>
  </si>
  <si>
    <t>United States Department of Defense; United States Navy; Naval Research Laboratory; Carnegie Institution for Science; Washington University (WUSTL)</t>
  </si>
  <si>
    <t>rhonda.stroud@nrl.navy.mil</t>
  </si>
  <si>
    <t>Stroud, Rhonda M./C-5503-2008; Stroud, Rhonda/GQZ-0151-2022; Nguyen, Ann/KGL-5622-2024; Stroud, Rhonda M/S-4584-2018</t>
  </si>
  <si>
    <t>Stroud, Rhonda/0000-0001-5242-8015; Stroud, Rhonda M/0000-0001-5242-8015</t>
  </si>
  <si>
    <t>WOS:000257683100274</t>
  </si>
  <si>
    <t>Sugita, M; Tomeoka, K</t>
  </si>
  <si>
    <t>Sugita, M.; Tomeoka, K.</t>
  </si>
  <si>
    <t>Sodium-metasomatism in CAIs and matrix in the ningqiang carbonaceous chondrite</t>
  </si>
  <si>
    <t>[Sugita, M.; Tomeoka, K.] Kobe Univ, Fac Sci, Dept Earth &amp; Planetary Sci, Kobe, Hyogo 6578501, Japan</t>
  </si>
  <si>
    <t>026d860n@stu.kobe-u.ac.jp</t>
  </si>
  <si>
    <t>A149</t>
  </si>
  <si>
    <t>WOS:000257683100275</t>
  </si>
  <si>
    <t>Sugiura, N; Takehana, S; Hiyagon, H; Kita, NT</t>
  </si>
  <si>
    <t>Sugiura, N.; Takehana, S.; Hiyagon, H.; Kita, N. T.</t>
  </si>
  <si>
    <t>An igneous clast with both graphite-bearing and graphite-free lithologies in the northwest Africa 801 CR2 chondrite</t>
  </si>
  <si>
    <t>[Sugiura, N.; Takehana, S.; Hiyagon, H.] Univ Tokyo, Dept Earth Planet Sci, Tokyo 1138654, Japan; [Kita, N. T.] Univ Wisconsin, Madison, WI 53706 USA</t>
  </si>
  <si>
    <t>University of Tokyo; University of Wisconsin System; University of Wisconsin Madison</t>
  </si>
  <si>
    <t>sugiura@eps.s.u-tokyo.ac.jp</t>
  </si>
  <si>
    <t>HIYAGON, HAJIME/G-4879-2014; Sugiura, Naoji/A-1855-2009; Kita, Noriko T./H-8035-2016</t>
  </si>
  <si>
    <t>Kita, Noriko T./0000-0002-0204-0765</t>
  </si>
  <si>
    <t>Directorate For Geosciences; Division Of Earth Sciences [0744079] Funding Source: National Science Foundation</t>
  </si>
  <si>
    <t>Directorate For Geosciences; Division Of Earth Sciences(National Science Foundation (NSF)NSF - Directorate for Geosciences (GEO))</t>
  </si>
  <si>
    <t>WOS:000257683100276</t>
  </si>
  <si>
    <t>Suzuki, A; Yamamoto, Y; Nakashima, S; Nakamura, T</t>
  </si>
  <si>
    <t>Suzuki, A.; Yamamoto, Y.; Nakashima, S.; Nakamura, T.</t>
  </si>
  <si>
    <t>Organic and mineral transformations during experimental aqueous alteration of carbonaceous chondrite ningqiang</t>
  </si>
  <si>
    <t>[Suzuki, A.; Nakashima, S.] Osaka Univ, Fac Sci, Dept Earth &amp; Space Sci, Osaka 5600043, Japan; [Yamamoto, Y.] Univ Tokyo, Ctr Environm Sci, Bunkyo Ku, Tokyo 1130033, Japan; [Nakamura, T.] Kyushu Univ, Dept Earth &amp; Planetary Sci, Fac Sci, Fukuoka 8128581, Japan</t>
  </si>
  <si>
    <t>Osaka University; University of Tokyo; Kyushu University</t>
  </si>
  <si>
    <t>akiko.s@ess.sci.osaka-u.ac.jp</t>
  </si>
  <si>
    <t>A150</t>
  </si>
  <si>
    <t>WOS:000257683100277</t>
  </si>
  <si>
    <t>Swindle, TD; Kimura, M</t>
  </si>
  <si>
    <t>Swindle, T. D.; Kimura, M.</t>
  </si>
  <si>
    <t>40Ar-39Ar studies of heavily shocked yamato chondrites</t>
  </si>
  <si>
    <t>[Swindle, T. D.] Univ Arizona, Lunar &amp; Planetary Lab, Tucson, AZ 85721 USA; [Kimura, M.] Ibaraki Univ, Fac Sci, Mito, Ibaraki 310, Japan</t>
  </si>
  <si>
    <t>University of Arizona; Ibaraki University</t>
  </si>
  <si>
    <t>tswindle@u.arizona.edu</t>
  </si>
  <si>
    <t>WOS:000257683100278</t>
  </si>
  <si>
    <t>Tachibana, S; Nagahara, H; Ozawa, K; Tamada, S</t>
  </si>
  <si>
    <t>Tachibana, S.; Nagahara, H.; Ozawa, K.; Tamada, S.</t>
  </si>
  <si>
    <t>Non-equilibrium condensation in the Mg-Si-O system: An experimental study</t>
  </si>
  <si>
    <t>[Tachibana, S.; Nagahara, H.; Ozawa, K.; Tamada, S.] Univ Tokyo, Dept Earth &amp; Planetary Sci, Tokyo 1130033, Japan</t>
  </si>
  <si>
    <t>tachi@eps.s.u-tokyo.ac.jp</t>
  </si>
  <si>
    <t>Tachibana, Shogo/R-7884-2018</t>
  </si>
  <si>
    <t>A151</t>
  </si>
  <si>
    <t>WOS:000257683100279</t>
  </si>
  <si>
    <t>Takayama, A; Tomeoka, K</t>
  </si>
  <si>
    <t>Takayama, A.; Tomeoka, K.</t>
  </si>
  <si>
    <t>Fine-grained chondrule rims in the tagish lake chondrite: Evidence for parent-body processes</t>
  </si>
  <si>
    <t>CARBONACEOUS CHONDRITE</t>
  </si>
  <si>
    <t>[Takayama, A.; Tomeoka, K.] Kobe Univ, Dept Earth &amp; Planetary Sci, Fac Sci, Nada Ku, Kobe, Hyogo 6578501, Japan</t>
  </si>
  <si>
    <t>akiko-13@stu.kobe-u.ac.jp</t>
  </si>
  <si>
    <t>WOS:000257683100280</t>
  </si>
  <si>
    <t>Takeda, H; Yamaguchi, A</t>
  </si>
  <si>
    <t>Takeda, H.; Yamaguchi, A.</t>
  </si>
  <si>
    <t>Two olivine-rich ureilites among nine new northwest Africa ureilites and their proposed origin</t>
  </si>
  <si>
    <t>METEORITICAL BULLETIN</t>
  </si>
  <si>
    <t>[Takeda, H.] Univ Tokyo, Dept Earth &amp; Planet Sci, Tokyo 1130033, Japan; [Yamaguchi, A.] Natl Inst Polar Res, Tokyo 1738515, Japan</t>
  </si>
  <si>
    <t>University of Tokyo; Research Organization of Information &amp; Systems (ROIS); National Institute of Polar Research (NIPR) - Japan</t>
  </si>
  <si>
    <t>takeda.hiroshi@it-chiba.ac.jp</t>
  </si>
  <si>
    <t>A152</t>
  </si>
  <si>
    <t>WOS:000257683100281</t>
  </si>
  <si>
    <t>Takeda, Hiroshi; Yamaguchi, A.</t>
  </si>
  <si>
    <t>Contributions of Antarctic ureilites to reconstruction of their parent body and the formation processes with description of three ureilites from Antarctica</t>
  </si>
  <si>
    <t>MINERALOGY; ORIGIN</t>
  </si>
  <si>
    <t>[Takeda, Hiroshi] Univ Tokyo, Dept Earth &amp; Planetary Sci, Tokyo 1130033, Japan; [Yamaguchi, A.] Natl Inst Polar Res, Tokyo 1738515, Japan</t>
  </si>
  <si>
    <t>A190</t>
  </si>
  <si>
    <t>WOS:000257683100356</t>
  </si>
  <si>
    <t>Tan, D; Harvey, R; Caffee, M; Osinski, G</t>
  </si>
  <si>
    <t>Tan, Dejun; Harvey, Ralph; Caffee, Marc; Osinski, Gordon</t>
  </si>
  <si>
    <t>Surface exposure ages in the Miller Range, Transantarctic Mountains, Antarctica</t>
  </si>
  <si>
    <t>EAST ANTARCTICA; ICE-SHEET</t>
  </si>
  <si>
    <t>[Tan, Dejun; Harvey, Ralph] Case Western Reserve Univ, Dept Geol Sci, Cleveland, OH 44106 USA; [Caffee, Marc] Purdue Univ, PRIME Lab, W Lafayette, IN 47907 USA; [Osinski, Gordon] Univ Western Ontario, Dept Earth Sci &amp; Phys &amp; Astron, London, ON N6A 5B7, Canada</t>
  </si>
  <si>
    <t>University System of Ohio; Case Western Reserve University; Purdue University System; Purdue University; Western University (University of Western Ontario)</t>
  </si>
  <si>
    <t>dejun.tan@case.edu</t>
  </si>
  <si>
    <t>WOS:000257683100357</t>
  </si>
  <si>
    <t>Teiser, J; Wurm, G; Haack, H; Bischoff, A; Roszjar, J</t>
  </si>
  <si>
    <t>Teiser, J.; Wurm, G.; Haack, H.; Bischoff, A.; Roszjar, J.</t>
  </si>
  <si>
    <t>Chondrules and photophoresis-old friends meet again</t>
  </si>
  <si>
    <t>[Teiser, J.; Wurm, G.; Bischoff, A.; Roszjar, J.] Univ Munster, Inst Planetol, D-48149 Munster, Germany; [Haack, H.] Geol Museum, DK-1350 Copenhagen K, Denmark</t>
  </si>
  <si>
    <t>j.teiser@uni-muenster.de</t>
  </si>
  <si>
    <t>WOS:000257683100282</t>
  </si>
  <si>
    <t>Terada, K; Hidaka, H; Sano, Y</t>
  </si>
  <si>
    <t>Terada, K.; Hidaka, H.; Sano, Y.</t>
  </si>
  <si>
    <t>Chronology of lunar basaltic meteorites based on the in situ U-PB dating</t>
  </si>
  <si>
    <t>[Terada, K.; Hidaka, H.] Hiroshima Univ, Dept Earth &amp; Planetary Syst Sci, Higashihiroshima 7398526, Japan; [Sano, Y.] Univ Tokyo, Ctr Adv Marine Res, Nakano Ku, Ocean Res Inst, Tokyo 1648639, Japan</t>
  </si>
  <si>
    <t>Hiroshima University; University of Tokyo</t>
  </si>
  <si>
    <t>terada@sci.hiroshima-u.ac.jp</t>
  </si>
  <si>
    <t>Terada, Kentaro/AAN-5930-2021; Sano, Yuji/B-8971-2015; Hidaka, Hiroshi/AAJ-5603-2021</t>
  </si>
  <si>
    <t>A153</t>
  </si>
  <si>
    <t>WOS:000257683100283</t>
  </si>
  <si>
    <t>Theis, KJ; Lyon, I; Burgess, R; Turner, G</t>
  </si>
  <si>
    <t>Theis, K. J.; Lyon, I.; Burgess, R.; Turner, G.</t>
  </si>
  <si>
    <t>Iron isotope composition of zoned carbonates from ALH 84001</t>
  </si>
  <si>
    <t>MARTIAN METEORITE ALH84001; MARS</t>
  </si>
  <si>
    <t>[Theis, K. J.; Lyon, I.; Burgess, R.; Turner, G.] Univ Manchester, Sch Earth Atmospher &amp; Environm Sci, Manchester M13 9PL, Lancs, England</t>
  </si>
  <si>
    <t>karen.j.theis@postgrad.manchester.ac.uk</t>
  </si>
  <si>
    <t>Science and Technology Facilities Council [PP/D001099/1, PP/E000894/1] Funding Source: researchfish</t>
  </si>
  <si>
    <t>WOS:000257683100284</t>
  </si>
  <si>
    <t>Thomas-Keprta, KL; Clemett, SJ; Mckay, DS; Gibson, EK; Wentworth, SJ</t>
  </si>
  <si>
    <t>Thomas-Keprta, K. L.; Clemett, S. J.; McKay, D. S.; Gibson, E. K.; Wentworth, S. J.</t>
  </si>
  <si>
    <t>FEI Corp</t>
  </si>
  <si>
    <t>Reassessment of the Life on Mars hypothesis</t>
  </si>
  <si>
    <t>MARTIAN METEORITE ALH84001</t>
  </si>
  <si>
    <t>[Thomas-Keprta, K. L.; Clemett, S. J.; Wentworth, S. J.] ESCG NASA, Houston, TX USA; [McKay, D. S.; Gibson, E. K.] NASA, Lyndon B Johnson Space Ctr, Washington, DC USA; [FEI Corp] FEI Co, Hillsboro, OR USA</t>
  </si>
  <si>
    <t>National Aeronautics &amp; Space Administration (NASA); National Aeronautics &amp; Space Administration (NASA); NASA Johnson Space Center; Thermo Fisher Scientific; FEI Company</t>
  </si>
  <si>
    <t>A154</t>
  </si>
  <si>
    <t>WOS:000257683100285</t>
  </si>
  <si>
    <t>Tomeoka, K; Ohnishi, I</t>
  </si>
  <si>
    <t>Tomeoka, K.; Ohnishi, I.</t>
  </si>
  <si>
    <t>Indicators of multiple parent-body processes: chondrules and fine-grained rims in the mokota CV3 chondrite</t>
  </si>
  <si>
    <t>[Tomeoka, K.; Ohnishi, I.] Kobe Univ, Fac Sci, Dept Earth &amp; Planetary Sci, Nada Ku, Kobe, Hyogo 6578501, Japan</t>
  </si>
  <si>
    <t>tomeoka@kobe-u.ac.jp</t>
  </si>
  <si>
    <t>WOS:000257683100286</t>
  </si>
  <si>
    <t>Tomioka, N; Morlok, A; Koike, C; Grady, MM</t>
  </si>
  <si>
    <t>Tomioka, N.; Morlok, A.; Koike, C.; Grady, M. M.</t>
  </si>
  <si>
    <t>Oxidation of synthetic and meteoritic Fe-rich olivine by heating in air</t>
  </si>
  <si>
    <t>[Tomioka, N.; Morlok, A.] Kobe Univ, Dept Earth &amp; Planetary Sci, Kobe, Hyogo, Japan; [Tomioka, N.] Okayama Univ, ISEI, PML, Okayama, Japan; [Koike, C.] Osaka Univ, Dept Earth &amp; Space Sci, Suita, Osaka 565, Japan</t>
  </si>
  <si>
    <t>Kobe University; Okayama University; Osaka University</t>
  </si>
  <si>
    <t>nao@misasa.okayama-u.ac.jp</t>
  </si>
  <si>
    <t>A155</t>
  </si>
  <si>
    <t>WOS:000257683100287</t>
  </si>
  <si>
    <t>Tomkinson, T; Wade, J; Busemann, H; Franchi, IA; Hagermann, A; Wright, IP; Wolters, S; Grady, MM</t>
  </si>
  <si>
    <t>Tomkinson, T.; Wade, J.; Busemann, H.; Franchi, I. A.; Hagermann, A.; Wright, I. P.; Wolters, S.; Grady, M. M.</t>
  </si>
  <si>
    <t>Studying the oxygen and carbon isotope characteristics of carbonate analogues to ALH 84001</t>
  </si>
  <si>
    <t>MARTIAN METEORITE; ALH84001</t>
  </si>
  <si>
    <t>[Tomkinson, T.; Wade, J.; Busemann, H.; Franchi, I. A.; Hagermann, A.; Wright, I. P.; Wolters, S.; Grady, M. M.] Open Univ, PSSRI, Milton Keynes MK7 6AA, Bucks, England</t>
  </si>
  <si>
    <t>t.o.r.tomkinson@open.ac.uk</t>
  </si>
  <si>
    <t>Wade, Jon/H-7012-2012</t>
  </si>
  <si>
    <t>Wade, Jon/0000-0002-6998-236X</t>
  </si>
  <si>
    <t>STFC [PP/E007732/1] Funding Source: UKRI; Science and Technology Facilities Council [PP/E000894/1, ST/F003102/1, PP/E007732/1] Funding Source: researchfish</t>
  </si>
  <si>
    <t>WOS:000257683100288</t>
  </si>
  <si>
    <t>Touboul, M; Kleine, T; Bourdon, B; van Orman, JA; Maden, C; Zipfel, J; Irving, AJ; Bunch, TE</t>
  </si>
  <si>
    <t>Touboul, M.; Kleine, T.; Bourdon, B.; van Orman, J. A.; Maden, C.; Zipfel, J.; Irving, A. J.; Bunch, T. E.</t>
  </si>
  <si>
    <t>Hf-W thermochronometry of the acapulcoitelodranite parent body</t>
  </si>
  <si>
    <t>ACAPULCO METEORITE; U-PB; ACCRETION</t>
  </si>
  <si>
    <t>[Touboul, M.; Kleine, T.; Bourdon, B.; Maden, C.] Swiss Fed Inst Technol, Inst Isotope Geochem &amp; Mineral Resources, Zurich, Switzerland; [van Orman, J. A.] Case Western Reserve Univ, Dept Geol Sci, Cleveland, OH 44106 USA; [Zipfel, J.] Forschungsinst, Frankfurt, Germany; [Zipfel, J.] Nat Museum Senckenberg, Frankfurt, Germany; [Irving, A. J.] Univ Washington, Dept Earth &amp; Space Sci, Seattle, WA 98195 USA; [Bunch, T. E.] No Arizona Univ, Dept Geol, Flagstaff, AZ 86011 USA</t>
  </si>
  <si>
    <t>Swiss Federal Institutes of Technology Domain; ETH Zurich; University System of Ohio; Case Western Reserve University; Senckenberg Gesellschaft fur Naturforschung (SGN); University of Washington; University of Washington Seattle; Northern Arizona University</t>
  </si>
  <si>
    <t>touboul@erdw.ethz.ch</t>
  </si>
  <si>
    <t>Bourdon, Bernard/A-3303-2008</t>
  </si>
  <si>
    <t>A156</t>
  </si>
  <si>
    <t>WOS:000257683100289</t>
  </si>
  <si>
    <t>Tsuchiyama, A; Iida, Y; Kadono, T; Nakamura, T; Sakamoto, K; Nakano, T; Uesugi, K; Zolensky, ME</t>
  </si>
  <si>
    <t>Tsuchiyama, A.; Iida, Y.; Kadono, T.; Nakamura, T.; Sakamoto, K.; Nakano, T.; Uesugi, K.; Zolensky, M. E.</t>
  </si>
  <si>
    <t>Three-dimensional morphologies and elemental distributions of stardust impact tracks</t>
  </si>
  <si>
    <t>COMET 81P/WILD-2</t>
  </si>
  <si>
    <t>[Tsuchiyama, A.; Iida, Y.] Osaka Univ, Dept Earth &amp; Space Sci, Grad Sch Sci, Toyonaka, Osaka 5600043, Japan; [Kadono, T.] Osaka Univ, Inst Laser Engn, Suita, Osaka 5650871, Japan; [Nakamura, T.; Sakamoto, K.] Kyushu Univ, Dept Earth &amp; Planetary Sci, Fac Sci, Fukuoka 8128581, Japan; [Nakano, T.] Geol Survey Japan, Tsukuba, Ibaraki 3058567, Japan; [Uesugi, K.] Synchrotron Radiat Res Inst, Sayo, Hyogo 6795198, Japan; [Zolensky, M. E.] KT NASA, Lyndon B Johnson Space Ctr, Houston, TX 77058 USA</t>
  </si>
  <si>
    <t>Osaka University; Osaka University; Kyushu University; Japan Synchrotron Radiation Research Institute; National Aeronautics &amp; Space Administration (NASA); NASA Johnson Space Center</t>
  </si>
  <si>
    <t>akira@ess.sci.osaka-u.ac.jp</t>
  </si>
  <si>
    <t>WOS:000257683100290</t>
  </si>
  <si>
    <t>Tsutsui, S; Naraoka, H</t>
  </si>
  <si>
    <t>Tsutsui, Shin; Naraoka, Hiroshi</t>
  </si>
  <si>
    <t>Isotope variation at nanomolar carbonate in the murchison meteorite</t>
  </si>
  <si>
    <t>[Tsutsui, Shin; Naraoka, Hiroshi] Kyushu Univ, Dept Earth &amp; Planetary Sci, Fukuoka 812, Japan</t>
  </si>
  <si>
    <t>stsutsui@geo.kyushu-u.ac.jp</t>
  </si>
  <si>
    <t>A157</t>
  </si>
  <si>
    <t>WOS:000257683100291</t>
  </si>
  <si>
    <t>Turner, G</t>
  </si>
  <si>
    <t>Turner, Grenville</t>
  </si>
  <si>
    <t>Neutron exposure on the lunar surface based on 235U fission in zircon</t>
  </si>
  <si>
    <t>ANCIENT ZIRCONS</t>
  </si>
  <si>
    <t>[Turner, Grenville] Univ Manchester, SEAES, Manchester M13 9PL, England</t>
  </si>
  <si>
    <t>grenville.tumer@manchester.ac.uk</t>
  </si>
  <si>
    <t>WOS:000257683100292</t>
  </si>
  <si>
    <t>Uesugi, M; Oka, M; Saiki, K; Tsuchiyama, A</t>
  </si>
  <si>
    <t>Uesugi, M.; Oka, M.; Saiki, K.; Tsuchiyama, A.</t>
  </si>
  <si>
    <t>Heating experiment for the ejection of iron globules from melted chondrules</t>
  </si>
  <si>
    <t>[Uesugi, M.; Oka, M.; Saiki, K.; Tsuchiyama, A.] Osaka Univ, Grad Sch Sci, Dept Earth &amp; Space Sci, Toyonaka, Osaka 560, Japan</t>
  </si>
  <si>
    <t>uesugi@astroboy.ess.sci.osaka-u.ac.jp</t>
  </si>
  <si>
    <t>A158</t>
  </si>
  <si>
    <t>WOS:000257683100293</t>
  </si>
  <si>
    <t>Uesugi, M; Uesugi, K; Oka, M</t>
  </si>
  <si>
    <t>Uesugi, M.; Uesugi, K.; Oka, M.</t>
  </si>
  <si>
    <t>Non-destructive observation of structure of compound chondrules by X-ray CT</t>
  </si>
  <si>
    <t>[Uesugi, M.; Oka, M.] Osaka Univ, Dept Earth &amp; Space Sci, Grad Sch Sci, Toyonaka, Osaka, Japan; [Uesugi, K.] Japan Synchrotron Radiat Res Inst JASRI, Sayo, Hyogo, Japan</t>
  </si>
  <si>
    <t>Osaka University; Japan Synchrotron Radiation Research Institute</t>
  </si>
  <si>
    <t>WOS:000257683100294</t>
  </si>
  <si>
    <t>Usami, T; Toyoda, S; Noritake, K; Ninagawa, K</t>
  </si>
  <si>
    <t>Usami, T.; Toyoda, S.; Noritake, K.; Ninagawa, K.</t>
  </si>
  <si>
    <t>The effect of impact on paramagnetic defects in quartz</t>
  </si>
  <si>
    <t>[Usami, T.; Toyoda, S.; Noritake, K.; Ninagawa, K.] Okayama Univ Sci, Okayama, Japan</t>
  </si>
  <si>
    <t>Okayama University of Science</t>
  </si>
  <si>
    <t>s06rd01@physics.dap.ous.ac.jp</t>
  </si>
  <si>
    <t>A159</t>
  </si>
  <si>
    <t>WOS:000257683100295</t>
  </si>
  <si>
    <t>Usui, T; Sanborn, ME; Wadhwa, M; McSween, HY</t>
  </si>
  <si>
    <t>Usui, T.; Sanborn, M. E.; Wadhwa, M.; McSween, H. Y., Jr.</t>
  </si>
  <si>
    <t>Petrogenesis of geochemically enriched lherzolitic shergottites RBT 04261 and RBT 04262</t>
  </si>
  <si>
    <t>[Usui, T.; McSween, H. Y., Jr.] Univ Tennessee, Dept Earth &amp; Planetary Sci, Knoxville, TN 37996 USA; [Sanborn, M. E.; Wadhwa, M.] Arizona State Univ, SESE, Tempe, AZ 85287 USA</t>
  </si>
  <si>
    <t>University of Tennessee System; University of Tennessee Knoxville; Arizona State University; Arizona State University-Tempe</t>
  </si>
  <si>
    <t>tusui@utk.edu</t>
  </si>
  <si>
    <t>Usui, Tomohiro/G-1204-2010</t>
  </si>
  <si>
    <t>Usui, Tomohiro/0000-0002-4653-293X</t>
  </si>
  <si>
    <t>WOS:000257683100296</t>
  </si>
  <si>
    <t>Valenzuela, EM; Leclerc, MD; Munayco, P; Scorzelli, RB; Jull, AJT; Rochette, P; Gattacceca, J; Suavet, C; Denise, M; Morata, D</t>
  </si>
  <si>
    <t>Valenzuela, E. M.; Leclerc, M. D.; Munayco, P.; Scorzelli, R. B.; Jull, A. J. T.; Rochette, P.; Gattacceca, J.; Suavet, C.; Denise, M.; Morata, D.</t>
  </si>
  <si>
    <t>Weathering patterns of ordinary chondrites from different locations in the atacama desert (Chile)</t>
  </si>
  <si>
    <t>METEORITES; AGE</t>
  </si>
  <si>
    <t>[Valenzuela, E. M.; Morata, D.] Univ Chile, Dep Geol, Santiago, Chile; [Leclerc, M. D.; Jull, A. J. T.] Univ Arizona, AMS Lab, NSF Arizona, Tucson, AZ USA; [Munayco, P.; Scorzelli, R. B.] CBPF MCT, Rio De Janeiro, Brazil; [Rochette, P.; Gattacceca, J.; Suavet, C.] Univ Aix Marseille, CNRS, CEREGE, Marseille, France; [Denise, M.] MNHN, Paris, France</t>
  </si>
  <si>
    <t>Universidad de Chile; National Science Foundation (NSF); University of Arizona; Centro Brasileiro de Pesquisas Fisicas; Aix-Marseille Universite; Centre National de la Recherche Scientifique (CNRS); Museum National d'Histoire Naturelle (MNHN)</t>
  </si>
  <si>
    <t>edvalenz@cec.uchile.cl</t>
  </si>
  <si>
    <t>Scorzelli, Rosa/AAU-6837-2021; Munayco, Pablo/AAG-6508-2019; Munayco, Pablo/H-8193-2012; Gattacceca, Jerome/AAG-5651-2019; Morata, Diego/G-4871-2016</t>
  </si>
  <si>
    <t>Munayco, Pablo/0000-0003-0961-4626; Munayco, Pablo/0000-0003-0961-4626; Gattacceca, Jerome/0000-0002-1639-7140; Morata, Diego/0000-0002-9751-2429</t>
  </si>
  <si>
    <t>A160</t>
  </si>
  <si>
    <t>WOS:000257683100297</t>
  </si>
  <si>
    <t>van Ginneken, M; Folco, L; Rochette, P; Perchiazzi, N</t>
  </si>
  <si>
    <t>van Ginneken, M.; Folco, L.; Rochette, P.; Perchiazzi, N.</t>
  </si>
  <si>
    <t>An unusual particle from the transantactic mountain micrometeorite collection likely related to the ∼480 ka cosmic dust layer in the epica dome-c and dome fuji ice cores</t>
  </si>
  <si>
    <t>[van Ginneken, M.; Folco, L.] Museo Nazl Antartide, Siena, Italy; [Rochette, P.] Univ Aix Marseille 3, CEREGE, F-13628 Aix En Provence, France; [Perchiazzi, N.] DST, Pisa, Italy</t>
  </si>
  <si>
    <t>Aix-Marseille Universite</t>
  </si>
  <si>
    <t>vanginneken@unisi.it</t>
  </si>
  <si>
    <t>Folco, Luigi/AAB-8586-2021; Van Ginneken, Matthias/AFQ-5594-2022; Folco, Luigi/AAA-6351-2020; Perchiazzi, Natale/A-9578-2018</t>
  </si>
  <si>
    <t>Van Ginneken, Matthias/0000-0002-2508-7021; Perchiazzi, Natale/0000-0003-3229-2282</t>
  </si>
  <si>
    <t>A161</t>
  </si>
  <si>
    <t>WOS:000257683100299</t>
  </si>
  <si>
    <t>van Ginneken, M; Folco, L; Rochette, P</t>
  </si>
  <si>
    <t>van Ginneken, M.; Folco, L.; Rochette, P.</t>
  </si>
  <si>
    <t>Micrometeorites in the 400-1100 μm size range from the transantarctic mountains</t>
  </si>
  <si>
    <t>[van Ginneken, M.; Folco, L.] Univ Siena, Museo Nazl Antartide, I-53100 Siena, Italy; [Rochette, P.] Univ Aix Marseille 3, CEREGE, F-13628 Aix En Provence, France</t>
  </si>
  <si>
    <t>Van Ginneken, Matthias/AFQ-5594-2022; Folco, Luigi/AAA-6351-2020; Folco, Luigi/AAB-8586-2021</t>
  </si>
  <si>
    <t>Van Ginneken, Matthias/0000-0002-2508-7021;</t>
  </si>
  <si>
    <t>WOS:000257683100298</t>
  </si>
  <si>
    <t>van Niekerk, D; Huss, G; Keil, K</t>
  </si>
  <si>
    <t>van Niekerk, D.; Huss, G.; Keil, K.</t>
  </si>
  <si>
    <t>Kamacite assemblages in EH3 meteorites</t>
  </si>
  <si>
    <t>[van Niekerk, D.; Huss, G.; Keil, K.] Univ Hawaii Manoa, Hawaii Inst Geophys &amp; Planetol, Honolulu, HI 96822 USA</t>
  </si>
  <si>
    <t>dionysos@higp.hawaii.edu</t>
  </si>
  <si>
    <t>WOS:000257683100300</t>
  </si>
  <si>
    <t>Varela, ME; Kurat, G</t>
  </si>
  <si>
    <t>Varela, M. E.; Kurat, G.</t>
  </si>
  <si>
    <t>Glasses in micrometeorites</t>
  </si>
  <si>
    <t>SOLAR NEBULA</t>
  </si>
  <si>
    <t>[Varela, M. E.] CASLEO, San Juan, Argentina; [Kurat, G.] Univ Vienna, Dept Lithosper Sci, A-1090 Vienna, Austria</t>
  </si>
  <si>
    <t>evarela@casleo.gov.ar</t>
  </si>
  <si>
    <t>A162</t>
  </si>
  <si>
    <t>WOS:000257683100301</t>
  </si>
  <si>
    <t>Villeneuve, J; Chaussidon, M; Libourel, G</t>
  </si>
  <si>
    <t>Villeneuve, J.; Chaussidon, M.; Libourel, G.</t>
  </si>
  <si>
    <t>High-precision 26Al-26Mg systematics of type I and type II chondrules from Semarkona (LL3.0)</t>
  </si>
  <si>
    <t>AL-26; DURATION</t>
  </si>
  <si>
    <t>[Villeneuve, J.; Chaussidon, M.; Libourel, G.] Nancy Univ, CNRS, CRPG, INSU,UPR2300, F-54501 Vandoeuvre Les Nancy, France; [Libourel, G.] Nancy Univ, ENSG, F-54500 Vandoeuvre Les Nancy, France</t>
  </si>
  <si>
    <t>johanv@crpg.enrs-nancy.fr</t>
  </si>
  <si>
    <t>Villeneuve, Johan/P-2378-2015</t>
  </si>
  <si>
    <t>WOS:000257683100302</t>
  </si>
  <si>
    <t>Vishnevsky, SA; Gibsher, NA; Palchik, NA</t>
  </si>
  <si>
    <t>Vishnevsky, S. A.; Gibsher, N. A.; Palchik, N. A.</t>
  </si>
  <si>
    <t>CO-GENETIC fluid plus melt jets in the Popigai lechatelierites: A multi-stage origin</t>
  </si>
  <si>
    <t>[Vishnevsky, S. A.; Gibsher, N. A.; Palchik, N. A.] Inst Geol &amp; Mineral, Novosibirsk 630090, Russia</t>
  </si>
  <si>
    <t>Russian Academy of Sciences; Sobolev Institute of Geology &amp; Mineralogy of the Russian Academy of Sciences</t>
  </si>
  <si>
    <t>svish@uiggm.nse.ru</t>
  </si>
  <si>
    <t>Palchik, Nadezhda/A-3875-2014; Gibsher, Nadezhda/A-4011-2014; Vishnevsky, Sergey/A-5627-2014</t>
  </si>
  <si>
    <t>A163</t>
  </si>
  <si>
    <t>WOS:000257683100303</t>
  </si>
  <si>
    <t>Vogel, N; Leya, I</t>
  </si>
  <si>
    <t>Vogel, N.; Leya, I.</t>
  </si>
  <si>
    <t>Exposure ages of IAB irons: Implications for the formation and collisional history of the IAB parent body</t>
  </si>
  <si>
    <t>[Vogel, N.; Leya, I.] Univ Bern, Inst Phys, CH-3012 Bern, Switzerland</t>
  </si>
  <si>
    <t>University of Bern</t>
  </si>
  <si>
    <t>nvogel@space.unibe.ch</t>
  </si>
  <si>
    <t>WOS:000257683100304</t>
  </si>
  <si>
    <t>Vollmer, C; Stadermann, FJ; Floss, C; Hoppe, P; Brenker, FE</t>
  </si>
  <si>
    <t>Vollmer, C.; Stadermann, F. J.; Floss, C.; Hoppe, P.; Brenker, F. E.</t>
  </si>
  <si>
    <t>Atypical magnesium abundances in oxygen-rich stardust: Nanosims and Auger analyses</t>
  </si>
  <si>
    <t>MINERAL FORMATION; STELLAR WINDS; SILICATE; OXIDE</t>
  </si>
  <si>
    <t>[Vollmer, C.; Hoppe, P.] Max Planck Inst Chem, D-55020 Mainz, Germany; [Stadermann, F. J.; Floss, C.] Washington Univ, Lab Space Sci, St Louis, MO 63130 USA; [Brenker, F. E.] Goethe Univ Frankfurt, Geosci Inst Mineral, D-60054 Frankfurt, Germany</t>
  </si>
  <si>
    <t>Max Planck Society; Washington University (WUSTL); Goethe University Frankfurt</t>
  </si>
  <si>
    <t>Vollmer, Christian/A-7035-2013; Hoppe, Peter/B-3032-2015</t>
  </si>
  <si>
    <t>Hoppe, Peter/0000-0003-3681-050X</t>
  </si>
  <si>
    <t>A164</t>
  </si>
  <si>
    <t>WOS:000257683100305</t>
  </si>
  <si>
    <t>Wakita, S; Sekiya, M</t>
  </si>
  <si>
    <t>Wakita, S.; Sekiya, M.</t>
  </si>
  <si>
    <t>Numerical simulations of planetesimal-forming gravitational instability in a protoplanetary disk using a thin dust layer model</t>
  </si>
  <si>
    <t>[Wakita, S.; Sekiya, M.] Kyushu Univ, Dept Earth &amp; Planetary Sci, Fukuoka 8128581, Japan</t>
  </si>
  <si>
    <t>shigeru@geo.kyushu-u.ac.jp</t>
  </si>
  <si>
    <t>WOS:000257683100306</t>
  </si>
  <si>
    <t>Wang, G; Lin, Y; Wang, D</t>
  </si>
  <si>
    <t>Wang, G.; Lin, Y.; Wang, D.</t>
  </si>
  <si>
    <t>Comparison of Mg isotope compositions between bulk meteorites and mafic-ultramafic rocks from terrestrial mantle</t>
  </si>
  <si>
    <t>MAGNESIUM</t>
  </si>
  <si>
    <t>[Wang, G.] CAS, Guangzhou Inst Geochem, Lab Isotope Geochronol &amp; Geochem, Guangzhou, Guangdong, Peoples R China; [Lin, Y.] Inst Geol &amp; Geophys, Key Lab Earths Deep Interior, Beijing, Peoples R China</t>
  </si>
  <si>
    <t>Chinese Academy of Sciences; Guangzhou Institute of Geochemistry, CAS; Chinese Academy of Sciences; Institute of Geology &amp; Geophysics, CAS</t>
  </si>
  <si>
    <t>guiqinwang@gig.ac.cn</t>
  </si>
  <si>
    <t>A165</t>
  </si>
  <si>
    <t>WOS:000257683100307</t>
  </si>
  <si>
    <t>Wang, Y; Hsu, W</t>
  </si>
  <si>
    <t>Wang, Y.; Hsu, W.</t>
  </si>
  <si>
    <t>Petrographic study of Ningqiang sodalite</t>
  </si>
  <si>
    <t>CL-36</t>
  </si>
  <si>
    <t>[Wang, Y.; Hsu, W.] Acad Sinica, Purple Mt Observ, Lab Astrochem &amp; Planetary Sci, Nanjing 210008, Peoples R China</t>
  </si>
  <si>
    <t>Chinese Academy of Sciences; Nanjing Institute of Astronomical Optics &amp; Technology, NAOC, CAS; Purple Mountain Observatory, CAS</t>
  </si>
  <si>
    <t>y_wang@pmo.ac.cn</t>
  </si>
  <si>
    <t>WOS:000257683100308</t>
  </si>
  <si>
    <t>Warren, PH; Taylor, DJ</t>
  </si>
  <si>
    <t>Warren, Paul H.; Taylor, Dianne J.</t>
  </si>
  <si>
    <t>Kreep: A key, and still enigmatic, aspect of the Moon's global differentiation</t>
  </si>
  <si>
    <t>[Warren, Paul H.] Univ Calif Los Angeles, Dept Geophys, Los Angeles, CA USA; [Taylor, Dianne J.] Univ Calif Los Angeles, Dept Earth &amp; Space Sci, Los Angeles, CA 90095 USA</t>
  </si>
  <si>
    <t>pwarren@ucla.edu</t>
  </si>
  <si>
    <t>A166</t>
  </si>
  <si>
    <t>WOS:000257683100310</t>
  </si>
  <si>
    <t>Warren, PH; Huber, H</t>
  </si>
  <si>
    <t>Warren, Paul H.; Huber, Heinz</t>
  </si>
  <si>
    <t>Sideroprile and other element distributions among HED-meteoritic breccias</t>
  </si>
  <si>
    <t>[Warren, Paul H.; Huber, Heinz] Univ Calif Los Angeles, Inst Geophys &amp; Planetary Phys, Los Angeles, CA 90095 USA</t>
  </si>
  <si>
    <t>WOS:000257683100309</t>
  </si>
  <si>
    <t>Wasson, JT; Rubin, AE</t>
  </si>
  <si>
    <t>Wasson, John T.; Rubin, Alan E.</t>
  </si>
  <si>
    <t>Composition of matrix in C3.0 Acfer 094</t>
  </si>
  <si>
    <t>[Wasson, John T.; Rubin, Alan E.] Univ Calif Los Angeles, Los Angeles, CA 90095 USA</t>
  </si>
  <si>
    <t>jtwasson@ucla.edu</t>
  </si>
  <si>
    <t>A167</t>
  </si>
  <si>
    <t>WOS:000257683100312</t>
  </si>
  <si>
    <t>Wasson, JT</t>
  </si>
  <si>
    <t>Wasson, John T.</t>
  </si>
  <si>
    <t>Impact melting and 182W anomalies in magmatic iron meteorites</t>
  </si>
  <si>
    <t>[Wasson, John T.] Univ Calif Los Angeles, Los Angeles, CA 90095 USA</t>
  </si>
  <si>
    <t>WOS:000257683100311</t>
  </si>
  <si>
    <t>Weisberg, MK; Ebel, DS; Kimura, M</t>
  </si>
  <si>
    <t>Weisberg, M. K.; Ebel, D. S.; Kimura, M.</t>
  </si>
  <si>
    <t>Petrologic classification and thermal history of EH3-4 chondrites</t>
  </si>
  <si>
    <t>[Weisberg, M. K.] CUNY, Kingsborough Coll, Dept Phys Sci, Brooklyn, NY 11235 USA; [Ebel, D. S.] Amer Museum Nat Hist, Dept Earth &amp; Planetary Sci, New York, NY 10024 USA; [Kimura, M.] Ibaraki Univ, Ibaraki, Japan</t>
  </si>
  <si>
    <t>City University of New York (CUNY) System; American Museum of Natural History (AMNH); Ibaraki University</t>
  </si>
  <si>
    <t>mweisberg@kbcc.cuny.edu</t>
  </si>
  <si>
    <t>A191</t>
  </si>
  <si>
    <t>WOS:000257683100358</t>
  </si>
  <si>
    <t>Weisberg, MK; Ebel, DS; Connolly, HC; Kita, NT; Ushikubo, T; Valley, JW</t>
  </si>
  <si>
    <t>Weisberg, M. K.; Ebel, D. S.; Connolly, H. C., Jr.; Kita, N. T.; Ushikubo, T.; Valley, J. W.</t>
  </si>
  <si>
    <t>Metal-rich olivine aggregates in the Renazzo CR chondrite</t>
  </si>
  <si>
    <t>CARBONACEOUS CHONDRITES; PETROLOGY</t>
  </si>
  <si>
    <t>[Weisberg, M. K.; Connolly, H. C., Jr.] CUNY, Kingsborough Coll, Dept Phys Sci, Brooklyn, NY 11235 USA; [Weisberg, M. K.; Ebel, D. S.; Connolly, H. C., Jr.] Amer Museum Nat Hist, Dept Earth Planet, New York, NY 10024 USA; [Kita, N. T.; Ushikubo, T.; Valley, J. W.] Univ Wisconsin, Dept Geol &amp; Geophys, Madison, WI 53706 USA</t>
  </si>
  <si>
    <t>City University of New York (CUNY) System; American Museum of Natural History (AMNH); University of Wisconsin System; University of Wisconsin Madison</t>
  </si>
  <si>
    <t>mweisberi2@kbcc.cuny.edu</t>
  </si>
  <si>
    <t>A168</t>
  </si>
  <si>
    <t>WOS:000257683100313</t>
  </si>
  <si>
    <t>Welten, KC; Nishiizumi, K; Caffee, MW</t>
  </si>
  <si>
    <t>Welten, K. C.; Nishiizumi, K.; Caffee, M. W.</t>
  </si>
  <si>
    <t>Terrestrial ages of Antarctic meteorites</t>
  </si>
  <si>
    <t>PRODUCTION-RATES</t>
  </si>
  <si>
    <t>[Welten, K. C.; Nishiizumi, K.] Univ Calif Berkeley, Space Sci Lab, Berkeley, CA 94720 USA; [Caffee, M. W.] Purdue Univ, Dept Phys, W Lafayette, IN 47907 USA</t>
  </si>
  <si>
    <t>University of California System; University of California Berkeley; Purdue University System; Purdue University</t>
  </si>
  <si>
    <t>kcwelten@berkeley.edu</t>
  </si>
  <si>
    <t>A192</t>
  </si>
  <si>
    <t>WOS:000257683100360</t>
  </si>
  <si>
    <t>Welten, KC; DiBiase, R; Schipper, B; Perkins, J</t>
  </si>
  <si>
    <t>Welten, K. C.; DiBiase, R.; Schipper, B.; Perkins, J.</t>
  </si>
  <si>
    <t>Classification of Antarctic ordinary chondrites based on NI and CO in the metal phase</t>
  </si>
  <si>
    <t>TRACE-ELEMENT CONTENT</t>
  </si>
  <si>
    <t>[Welten, K. C.; DiBiase, R.; Schipper, B.; Perkins, J.] Univ Calif Berkeley, Space Sci Lab, Berkeley, CA 94720 USA</t>
  </si>
  <si>
    <t>University of California System; University of California Berkeley</t>
  </si>
  <si>
    <t>WOS:000257683100359</t>
  </si>
  <si>
    <t>Welten, KC; Caffee, MW; Masarik, J</t>
  </si>
  <si>
    <t>Welten, K. C.; Caffee, M. W.; Masarik, J.</t>
  </si>
  <si>
    <t>Cosmogenic radionuclides in paired diogenites from Lapaz Icefield, Antarctica</t>
  </si>
  <si>
    <t>[Welten, K. C.] Univ Calif Berkeley, Space Sci Lab, Berkeley, CA 94720 USA; [Caffee, M. W.] Purdue Univ, PRIME Lab, W Lafayette, IN 47907 USA; [Masarik, J.] Comenius Univ, Dept Nucl Phys, Bratislava, Slovakia</t>
  </si>
  <si>
    <t>University of California System; University of California Berkeley; Purdue University System; Purdue University; Comenius University Bratislava</t>
  </si>
  <si>
    <t>Masarik, Jozef/A-8008-2018; masarik, jozef/IRZ-6697-2023</t>
  </si>
  <si>
    <t>WOS:000257683100314</t>
  </si>
  <si>
    <t>Westphal, AJ; Allen, C; Bajt, S; Bastien, R; Bechtel, HA; Bleuet, P; Borg, J; Brenker, F; BridgeS, J; Brownlee, DE; Butterworth, AL; Burchell, M; Burghammer, M; Clark, B; Cloetens, P; Cody, G; Ferroir, T; Floss, C; Flynn, G; Frank, D; Gainsforth, Z; Grüan, E; Hoppe, P; Kearsleyll, A; Kelley, N; Lemelle, L; Leroux, H; Nittler, LR; Lettieri, R; Mendez, B; Marchant, W; Sandford, SA; Sec, T; Simionovici, A; Stadermann, F; Sternovsky, Z; Stroud, RM; Susini, J; Sutton, S; Tsou, P; Tsuchiyama, A; Tyliczszak, T; Vekemans, B; Vincze, L; Warre, J; Zolensky, ME</t>
  </si>
  <si>
    <t>Westphal, A. J.; Allen, C.; Bajt, S.; Bastien, R.; Bechtel, H. A.; Bleuet, P.; Borg, J.; Brenker, F.; Bridges, J.; Brownlee, D. E.; Butterworth, A. L.; Burchell, M.; Burghammer, M.; Clark, B.; Cloetens, P.; Cody, G.; Ferroir, T.; Floss, C.; Flynn, G.; Frank, D.; Gainsforth, Z.; Gruen, E.; Hoppe, P.; Kearsleyll, A.; Kelley, N.; Lemelle, L.; Leroux, H.; Nittler, L. R.; Lettieri, R.; Mendez, B.; Marchant, W.; Sandford, S. A.; Sec, T.; Simionovici, A.; Stadermann, F.; Sternovsky, Z.; Stroud, R. M.; Susini, J.; Sutton, S.; Tsou, P.; Tsuchiyama, A.; Tyliczszak, T.; Vekemans, B.; Vincze, L.; Warre, J.; Zolensky, M. E.</t>
  </si>
  <si>
    <t>Stardust interstellar preliminary examination -: First results</t>
  </si>
  <si>
    <t>[Westphal, A. J.; Butterworth, A. L.; Frank, D.; Gainsforth, Z.; Kelley, N.; Lettieri, R.; Mendez, B.; Marchant, W.] UC Berkeley, Space Sci Lab, Berkeley, CA USA; [Allen, C.; Warre, J.; Zolensky, M. E.] NASA, Lyndon B Johnson Space Ctr, Washington, DC USA; [Borg, J.] IAS, Orsay, France; [Brenker, F.] Univ Frankfurt, D-6000 Frankfurt, Germany; [Bridges, J.] Univ Leicester, Leicester LE1 7RH, Leics, England; [Brownlee, D. E.] Univ Washington, Seattle, WA 98195 USA; [Floss, C.; Stadermann, F.] Washington Univ, St Louis, MO USA; [Flynn, G.] SUNY Coll Plattsburgh, Plattsburgh, NY USA; [Gruen, E.] Max Planck Inst Kernphys, D-69117 Heidelberg, Germany; [Kearsleyll, A.] Nat Hist Museum, London, England; [Leroux, H.] Univ Sci &amp; Tech Lille Flandres Artois, F-59655 Villeneuve Dascq, France; [Nittler, L. R.] Carnegie Inst Washington, Washington, DC 20005 USA; [Simionovici, A.] Univ Grenoble, Observ Sci, Grenoble, France; [Tsuchiyama, A.] Osaka Univ, Suita, Osaka 565, Japan; [Burchell, M.] Univ Kent, Canterbury CT2 7NZ, Kent, England; [Bleuet, P.; Burghammer, M.; Susini, J.] ESRF, Grenoble, France; [Sternovsky, Z.] Univ Colorado, Boulder, CO 80309 USA; [Vekemans, B.; Vincze, L.] Univ Ghent, Ghent, Belgium; [Bajt, S.; Ferroir, T.; Lemelle, L.] ENS Lyon, Lyon, France</t>
  </si>
  <si>
    <t>University of California System; University of California Berkeley; National Aeronautics &amp; Space Administration (NASA); NASA Johnson Space Center; Universite Paris Saclay; Goethe University Frankfurt; University of Leicester; University of Washington; University of Washington Seattle; Washington University (WUSTL); State University of New York (SUNY) System; SUNY Plattsburgh; Max Planck Society; Natural History Museum London; Universite de Lille; Carnegie Institution for Science; Communaute Universite Grenoble Alpes; Universite Grenoble Alpes (UGA); Osaka University; University of Kent; European Synchrotron Radiation Facility (ESRF); University of Colorado System; University of Colorado Boulder; Ghent University; Ecole Normale Superieure de Lyon (ENS de LYON)</t>
  </si>
  <si>
    <t>westphal@ssl.berkeley.edu</t>
  </si>
  <si>
    <t>Stroud, Rhonda M./C-5503-2008; Stroud, Rhonda M/S-4584-2018; Simionovici, Alexandre S/E-5867-2018; Cloetens, Peter/AAJ-6131-2020; Vincze, Laszlo/AAP-3914-2020; Bechtel, Hans A/I-1883-2014; Stroud, Rhonda/GQZ-0151-2022; 1.4, ALS Beamline/I-1886-2014; Susini, Jean/HKV-4998-2023; Bajt, Sasa/G-2228-2010; Hoppe, Peter/B-3032-2015; STERNOVSKY, ZOLTAN/D-7297-2018</t>
  </si>
  <si>
    <t>Stroud, Rhonda M/0000-0001-5242-8015; Cloetens, Peter/0000-0002-4129-9091; Stroud, Rhonda/0000-0001-5242-8015; Bajt, Sasa/0000-0002-7163-7602; Hoppe, Peter/0000-0003-3681-050X; STERNOVSKY, ZOLTAN/0000-0002-9658-1350</t>
  </si>
  <si>
    <t>A169</t>
  </si>
  <si>
    <t>WOS:000257683100315</t>
  </si>
  <si>
    <t>Wurm, G; Haack, H; Teiser, J; Bischoff, A; Roszjar, J</t>
  </si>
  <si>
    <t>Wurm, G.; Haack, H.; Teiser, J.; Bischoff, A.; Roszjar, J.</t>
  </si>
  <si>
    <t>Chondrules, CAIs, and dust in protoplanetary disks in the framework of photophoretic forces</t>
  </si>
  <si>
    <t>[Wurm, G.; Teiser, J.; Bischoff, A.; Roszjar, J.] Univ Munster, Inst Planetol, D-48149 Munster, Germany; [Haack, H.] Geol Museum, DK-1350 Copenhagen K, Denmark</t>
  </si>
  <si>
    <t>gwurm@uni-muenster.de</t>
  </si>
  <si>
    <t>WOS:000257683100316</t>
  </si>
  <si>
    <t>Xie, ZD; Sharp, TG; Lemenweber, K; DeCarli, PS</t>
  </si>
  <si>
    <t>Xie, Zhidong; Sharp, Thomas Gi; Lemenweber, Kurt; DeCarli, Paul S.</t>
  </si>
  <si>
    <t>Natural occurrence of a new mineral with an olivine structure and pyroxene composition in the shock-induced melt veins of Tenham L6 chondrite</t>
  </si>
  <si>
    <t>A170</t>
  </si>
  <si>
    <t>WOS:000257683100317</t>
  </si>
  <si>
    <t>Yabuta, H; Cody, GD; Alexander, CMO; Kilcoyne, ALD</t>
  </si>
  <si>
    <t>Yabuta, H.; Cody, G. D.; Alexander, C. M. O'D.; Kilcoyne, A. L. D.</t>
  </si>
  <si>
    <t>Aromatic macromolecular variations of insoluble organic matter from metamorphosed CM2 observed in soft X-ray absorption energy shifts</t>
  </si>
  <si>
    <t>CHONDRITES</t>
  </si>
  <si>
    <t>[Yabuta, H.] Osaka Univ, Dept Earth &amp; Space Sci, Suita, Osaka 565, Japan; [Cody, G. D.] Carnegie Inst Washington, Geophys Lab, Washington, DC 20005 USA; [Alexander, C. M. O'D.] Carnegie Inst Washington, Dept Terr Magnetism, Washington, DC 20005 USA</t>
  </si>
  <si>
    <t>Osaka University; Carnegie Institution for Science; Carnegie Institution for Science</t>
  </si>
  <si>
    <t>hyabuta@ess.sci.osaka-u.ac.jp</t>
  </si>
  <si>
    <t>Alexander, Conel M. O'D./N-7533-2013; Kilcoyne, Arthur A L/I-1465-2013</t>
  </si>
  <si>
    <t>Alexander, Conel M. O'D./0000-0002-8558-1427; Kilcoyne, Arthur/0000-0002-8805-8690</t>
  </si>
  <si>
    <t>WOS:000257683100318</t>
  </si>
  <si>
    <t>Yamada, A; Hiraki, Y; Seta, T; Seki, K; Kasai, Y; Ozima, M</t>
  </si>
  <si>
    <t>Yamada, A.; Hiraki, Y.; Seta, T.; Seki, K.; Kasai, Y.; Ozima, M.</t>
  </si>
  <si>
    <t>Some considerations regarding oxygen composition in the lunar soil</t>
  </si>
  <si>
    <t>[Yamada, A.; Ozima, M.] Univ Tokyo, Dept Earth &amp; Planetary Sci, Tokyo, Japan; [Hiraki, Y.; Seki, K.] Nagoya Univ, Nagoya, Aichi, Japan; [Seta, T.; Kasai, Y.] NICT, Tokyo, Japan</t>
  </si>
  <si>
    <t>University of Tokyo; Nagoya University; National Institute of Information &amp; Communications Technology (NICT) - Japan</t>
  </si>
  <si>
    <t>yamada@eps.s.u-tokyo.ac.jp</t>
  </si>
  <si>
    <t>KASAI, Yasuko/Q-3103-2018</t>
  </si>
  <si>
    <t>A171</t>
  </si>
  <si>
    <t>WOS:000257683100319</t>
  </si>
  <si>
    <t>Yamada, A; Tanaka, HKM; Yamauchi, Y; Kurihara, T; Sugiura, N</t>
  </si>
  <si>
    <t>Yamada, Akinori; Tanaka, Hiroyuki K. M.; Yamauchi, Yusuke; Kurihara, Toshikazu; Sugiura, Nacji</t>
  </si>
  <si>
    <t>Nanostructural characterization of the allende CV chondrite and L chondrite using positronium time of flight spectroscopy: The history of chondrite parent body formation</t>
  </si>
  <si>
    <t>[Yamada, Akinori; Sugiura, Nacji] Univ Tokyo, Dept Earth &amp; Planetary Sci, Tokyo 1130033, Japan; [Tanaka, Hiroyuki K. M.] Univ Tokyo, Earthquake Res Inst, Tokyo 113, Japan; [Tanaka, Hiroyuki K. M.] RIKEN, Atom Phys Lab, Wako, Saitama 3510198, Japan; [Yamauchi, Yusuke] Natl Inst Mat Sci, Int Ctr Mat Nanoarchitecton, Tsukuba, Ibaraki 3050044, Japan; [Kurihara, Toshikazu] High Energy Accelerator Res Org, IMSS, Slow Positron Facil, Tsukuba, Ibaraki 3050801, Japan</t>
  </si>
  <si>
    <t>University of Tokyo; University of Tokyo; RIKEN; National Institute for Materials Science; High Energy Accelerator Research Organization (KEK)</t>
  </si>
  <si>
    <t>Yamauchi, Yusuke/D-2780-2015; Sugiura, Naoji/A-1855-2009</t>
  </si>
  <si>
    <t>WOS:000257683100320</t>
  </si>
  <si>
    <t>Yamaguchi, A; Takeda, H; Barrat, JA</t>
  </si>
  <si>
    <t>Yamaguchi, A.; Takeda, H.; Barrat, J. -A.</t>
  </si>
  <si>
    <t>Variety within eucrites and implications for their classification</t>
  </si>
  <si>
    <t>PARENT BODY</t>
  </si>
  <si>
    <t>[Yamaguchi, A.] Natl Inst Polar Res, Tokyo 1738515, Japan; [Takeda, H.] Univ Tokyo, Tokyo 1130033, Japan; [Barrat, J. -A.] CNRS, UMR 6538, UBO IUEM, F-29280 Plouzane, France</t>
  </si>
  <si>
    <t>Research Organization of Information &amp; Systems (ROIS); National Institute of Polar Research (NIPR) - Japan; University of Tokyo; Universite de Bretagne Occidentale; Institut Universitaire Europeen de la Mer (IUEM); Centre National de la Recherche Scientifique (CNRS); CNRS - National Institute for Earth Sciences &amp; Astronomy (INSU)</t>
  </si>
  <si>
    <t>yamaguch@nipr.ac.jp</t>
  </si>
  <si>
    <t>WOS:000257683100361</t>
  </si>
  <si>
    <t>Yamaji, A; Yamaguchi, Y; Oshigami, S; Ono, T; Kumamoto, A; Nakagawa, H; Kobayashi, T; Kasahara, Y</t>
  </si>
  <si>
    <t>Yamaji, A.; Yamaguchi, Y.; Oshigami, S.; Ono, T.; Kumamoto, A.; Nakagawa, H.; Kobayashi, T.; Kasahara, Y.</t>
  </si>
  <si>
    <t>Subsurface geology of mare serenitatis and surround regions of the moon as revealed by the Lunar Radar Sounder onboard Kaguya (Selene)</t>
  </si>
  <si>
    <t>[Yamaji, A.] Kyoto Univ, Div Earth &amp; Planetary Sci, Kyoto, Japan; [Yamaguchi, Y.; Oshigami, S.] Nagoya Univ, Dept Earth &amp; Environm Studies, Nagoya, Aichi 4648601, Japan; [Ono, T.; Kumamoto, A.; Nakagawa, H.] Tohoku Univ, Dept Geophys, Sendai, Miyagi 9808578, Japan; [Kobayashi, T.] Korea Inst Geol &amp; Mineral Resources, Taejon 305350, South Korea; [Kasahara, Y.] Kanazawa Univ, Informat Media Ctr, Kanazawa, Ishikawa 9201192, Japan</t>
  </si>
  <si>
    <t>Kyoto University; Nagoya University; Tohoku University; Korea Institute of Geoscience &amp; Mineral Resources (KIGAM); Kanazawa University</t>
  </si>
  <si>
    <t>yamaji@kueps.kyoto-u.ac.jp</t>
  </si>
  <si>
    <t>熊本, 篤志/JBS-8512-2023; KASAHARA, Yoshiya/E-7073-2015</t>
  </si>
  <si>
    <t>熊本, 篤志/0000-0002-3988-1488;</t>
  </si>
  <si>
    <t>A172</t>
  </si>
  <si>
    <t>WOS:000257683100321</t>
  </si>
  <si>
    <t>Yamamoto, A; Arai, T; Miyamoto, M; Takeda, H</t>
  </si>
  <si>
    <t>Yamamoto, A.; Arai, T.; Miyamoto, M.; Takeda, H.</t>
  </si>
  <si>
    <t>Spectroscopic study of nearside highland by remote sensing data and apollo 16 rock samples</t>
  </si>
  <si>
    <t>[Miyamoto, M.; Takeda, H.] Univ Tokyo, Dept Earth &amp; Planetary Sci, Tokyo 1138654, Japan</t>
  </si>
  <si>
    <t>aya@restee.or.jp</t>
  </si>
  <si>
    <t>WOS:000257683100322</t>
  </si>
  <si>
    <t>Yamamoto, Y; Nakamura, T; Noguchi, T; Nagao, K</t>
  </si>
  <si>
    <t>Yamamoto, Y.; Nakamura, T.; Noguchi, T.; Nagao, K.</t>
  </si>
  <si>
    <t>Mineralogical and noble gas compositional changes in the Ningqiang carbonaceous chondrite during experimetnal aqueous alteration with water vapor</t>
  </si>
  <si>
    <t>[Yamamoto, Y.; Nagao, K.] Univ Tokyo, Earthquake Chem Lab, Tokyo 1138654, Japan; [Yamamoto, Y.] Univ Tokyo, Ctr Environm Sci, Tokyo 1138654, Japan; [Nakamura, T.] Kyushu Univ, Dept Earth &amp; Planetary Sci, Fukuoka 812, Japan; [Noguchi, T.] Ibaraki Univ, Coll Sci, Ibaraki, Japan</t>
  </si>
  <si>
    <t>University of Tokyo; University of Tokyo; Kyushu University; Ibaraki University</t>
  </si>
  <si>
    <t>y-yamam@esc.u-tokyo.ac.jp</t>
  </si>
  <si>
    <t>A173</t>
  </si>
  <si>
    <t>WOS:000257683100323</t>
  </si>
  <si>
    <t>Yamauchi, Y; Nakamura, T; Doi, M; Nakamoto, T</t>
  </si>
  <si>
    <t>Yamauchi, Y.; Nakamura, T.; Doi, M.; Nakamoto, T.</t>
  </si>
  <si>
    <t>Mineralogy and size distribution of large micrometeorites recovered from the blue ice field at cape Tottuki in Antarctica</t>
  </si>
  <si>
    <t>[Yamauchi, Y.; Nakamura, T.] Kyushu Univ, Dept Earth &amp; Planetary Sci, Fukuoka 8128581, Japan; [Doi, M.; Nakamoto, T.] Tokyo Inst Technol, Meguro Ku, Tokyo 1528550, Japan</t>
  </si>
  <si>
    <t>Kyushu University; Tokyo Institute of Technology</t>
  </si>
  <si>
    <t>yama@geo.kyushu-u.ae.jp</t>
  </si>
  <si>
    <t>WOS:000257683100324</t>
  </si>
  <si>
    <t>Yanagisawa, M; Ikegami, H; Ishida, M; Karasaki, H; Takahashi, J; Kinoshita, K; Ohnishi, K</t>
  </si>
  <si>
    <t>Yanagisawa, M.; Ikegami, H.; Ishida, M.; Karasaki, H.; Takahashi, J.; Kinoshita, K.; Ohnishi, K.</t>
  </si>
  <si>
    <t>Lunar impact flashes by Geminid meteoroids in 2007</t>
  </si>
  <si>
    <t>MOON</t>
  </si>
  <si>
    <t>[Yanagisawa, M.; Ikegami, H.] Univ Electrocommun, Tokyo 1828585, Japan; [Takahashi, J.; Kinoshita, K.] Kobe Univ, Dept Earth &amp; Planetary Sci, Kobe, Hyogo 6578501, Japan; [Ohnishi, K.] Nagano Natl Coll Technol, Nagano 3818550, Japan</t>
  </si>
  <si>
    <t>University of Electro-Communications - Japan; Kobe University</t>
  </si>
  <si>
    <t>yanagi@ice.uec.ac.jp</t>
  </si>
  <si>
    <t>A174</t>
  </si>
  <si>
    <t>WOS:000257683100325</t>
  </si>
  <si>
    <t>Yang, J; Goldstein, JI; Michael, JR; Kotula, PG; Grimberg, A; Leya, I</t>
  </si>
  <si>
    <t>Yang, J.; Goldstein, J. I.; Michael, J. R.; Kotula, P. G.; Grimberg, A.; Leya, I.</t>
  </si>
  <si>
    <t>Tishomingo iron meteorite: A unique microstructure and thermal history</t>
  </si>
  <si>
    <t>[Yang, J.; Goldstein, J. I.] Univ Massachusetts, Dept Mech &amp; Ind Engn, Amherst, MA 01003 USA; [Michael, J. R.; Kotula, P. G.] Sandia Natl Labs, Mat Characterizat Dept, Albuquerque, NM 87185 USA; [Grimberg, A.; Leya, I.] Univ Bern, Inst Phys, CH-3012 Bern, Switzerland</t>
  </si>
  <si>
    <t>University of Massachusetts System; University of Massachusetts Amherst; United States Department of Energy (DOE); Sandia National Laboratories; University of Bern</t>
  </si>
  <si>
    <t>jiyang@ecs.umass.edu</t>
  </si>
  <si>
    <t>WOS:000257683100326</t>
  </si>
  <si>
    <t>Yasuda, S; Nakamoto, T</t>
  </si>
  <si>
    <t>Yasuda, S.; Nakamoto, T.</t>
  </si>
  <si>
    <t>Conditions for compound chondrule formation</t>
  </si>
  <si>
    <t>COALESCENCE; SEPARATION</t>
  </si>
  <si>
    <t>[Yasuda, S.] Univ Tsukuba, Tsukuba, Ibaraki 305, Japan; [Nakamoto, T.] Tokyo Inst Technol, Tokyo, Japan</t>
  </si>
  <si>
    <t>University of Tsukuba; Tokyo Institute of Technology</t>
  </si>
  <si>
    <t>yasuda@geo.titech.ac.jp</t>
  </si>
  <si>
    <t>A175</t>
  </si>
  <si>
    <t>WOS:000257683100327</t>
  </si>
  <si>
    <t>Yoshitake, M; Yamashita, K</t>
  </si>
  <si>
    <t>Yoshitake, M.; Yamashita, K.</t>
  </si>
  <si>
    <t>Mineralogical and pb-isotopic study of an allende CAI</t>
  </si>
  <si>
    <t>EARLY SOLAR-SYSTEM; CHONDRULES; INCLUSIONS</t>
  </si>
  <si>
    <t>[Yoshitake, M.] Natl Inst Polar Res, Antarct Meteorite Res Ctr, Tokyo 1738515, Japan; [Yamashita, K.] Okayama Univ, Inst Study Earths Interior, Tottori 6820193, Japan</t>
  </si>
  <si>
    <t>Research Organization of Information &amp; Systems (ROIS); National Institute of Polar Research (NIPR) - Japan; Okayama University</t>
  </si>
  <si>
    <t>yoshitake.miwa@nipr.ac.jp</t>
  </si>
  <si>
    <t>WOS:000257683100328</t>
  </si>
  <si>
    <t>Zhang, AC; Hsu, WB</t>
  </si>
  <si>
    <t>Zhang, Aicheng; Hsu, Weibiao</t>
  </si>
  <si>
    <t>Mineralogical and Raman spectroscopic studies of northwestern Africa 2977 lunar meteorite</t>
  </si>
  <si>
    <t>[Zhang, Aicheng; Hsu, Weibiao] Acad Sinica, Purple Mt Observ, Nanjing 210008, Peoples R China</t>
  </si>
  <si>
    <t>Purple Mountain Observatory, CAS; Chinese Academy of Sciences; Nanjing Institute of Astronomical Optics &amp; Technology, NAOC, CAS</t>
  </si>
  <si>
    <t>aczhang@pmo.ac.cn</t>
  </si>
  <si>
    <t>A176</t>
  </si>
  <si>
    <t>WOS:000257683100329</t>
  </si>
  <si>
    <t>Zhukovska, S; Gail, HP; Trieloff, M</t>
  </si>
  <si>
    <t>Zhukovska, S.; Gail, H. -P.; Trieloff, M.</t>
  </si>
  <si>
    <t>A large fraction of interstellar dust with solar isotopic composition</t>
  </si>
  <si>
    <t>STARDUST</t>
  </si>
  <si>
    <t>[Zhukovska, S.; Gail, H. -P.] Univ Heidelberg, Zentrum Astron, D-69120 Heidelberg, Germany; [Trieloff, M.] Univ Heidelberg, Inst Mineral, D-69120 Heidelberg, Germany</t>
  </si>
  <si>
    <t>Ruprecht Karls University Heidelberg; Ruprecht Karls University Heidelberg</t>
  </si>
  <si>
    <t>WOS:000257683100330</t>
  </si>
  <si>
    <t>Zolensky, ME; Gounelle, M; Briani, G; Bottke, W; Young, E; Dyl, K; Weisberg, MK</t>
  </si>
  <si>
    <t>Zolensky, M. E.; Gounelle, M.; Briani, G.; Bottke, W.; Young, E.; Dyl, K.; Weisberg, M. K.</t>
  </si>
  <si>
    <t>Pieces of Kuiper belt bodies in meteorites</t>
  </si>
  <si>
    <t>SOLAR-SYSTEM; FOSSIL MICROMETEORITES; HOWARDITES; ORIGIN; PLANETS; CAPTURE</t>
  </si>
  <si>
    <t>[Zolensky, M. E.] NASA, Lyndon B Johnson Space Ctr, Houston, TX 77058 USA; [Gounelle, M.; Briani, G.] Museum Natl Hist Nat, F-75231 Paris, France; [Bottke, W.] SW Res Inst, Boulder, CO 80302 USA; [Young, E.; Dyl, K.] Univ Calif Los Angeles, Inst Geophys &amp; Planetary Phys, Los Angeles, CA 90095 USA; [Weisberg, M. K.] Kingsborough Community Coll, Brooklyn, NY 11235 USA</t>
  </si>
  <si>
    <t>National Aeronautics &amp; Space Administration (NASA); NASA Johnson Space Center; Museum National d'Histoire Naturelle (MNHN); University of California System; University of California Los Angeles; City University of New York (CUNY) System</t>
  </si>
  <si>
    <t>michael.e.zolensky@nasa.gov</t>
  </si>
  <si>
    <t>A177</t>
  </si>
  <si>
    <t>WOS:000257683100331</t>
  </si>
  <si>
    <t>Zolotov, MY; Mironenko, MV</t>
  </si>
  <si>
    <t>Zolotov, M. Yu.; Mironenko, M. V.</t>
  </si>
  <si>
    <t>Aqueous alteration of CM2 chondrites evaluated with kinetic models</t>
  </si>
  <si>
    <t>CARBONACEOUS CHONDRITES; MINERALOGY; MATRIX</t>
  </si>
  <si>
    <t>[Zolotov, M. Yu.] Arizona State Univ, Sch Earth &amp; Space Explorat, Tempe, AZ 85287 USA; [Mironenko, M. V.] Russian Acad Sci, Vernadsky Inst, Moscow 119991, Russia</t>
  </si>
  <si>
    <t>Arizona State University; Arizona State University-Tempe; Russian Academy of Sciences; Vernadsky Institute of Geochemistry &amp; Analytical Chemistry</t>
  </si>
  <si>
    <t>zolotov@asu.edu</t>
  </si>
  <si>
    <t>Zolotov, Mikhail/HNJ-0884-2023</t>
  </si>
  <si>
    <t>WOS:000257683100332</t>
  </si>
  <si>
    <t>Zubko, E; Kimura, H; Shkuratov, Y; Muinonen, K; Yamamoto, T; Videen, G</t>
  </si>
  <si>
    <t>Zubko, E.; Kimura, H.; Shkuratov, Yu.; Muinonen, K.; Yamamoto, T.; Videen, G.</t>
  </si>
  <si>
    <t>Light scattering by highly absorbing irregularly shaped particles</t>
  </si>
  <si>
    <t>[Zubko, E.] Tohoku Univ, Sendai, Miyagi 980, Japan; [Zubko, E.; Shkuratov, Yu.] Kharkov Natl Univ, Kharkov, Ukraine; [Kimura, H.; Yamamoto, T.] Hokkaido Univ, Sapporo, Hokkaido 060, Japan; [Muinonen, K.] Univ Helsinki, FIN-00014 Helsinki, Finland; [Videen, G.] USA, Res Lab, AMSRL CI EM, Washington, DC 20310 USA</t>
  </si>
  <si>
    <t>Tohoku University; Ministry of Education &amp; Science of Ukraine; VN Karazin Kharkiv National University; Hokkaido University; University of Helsinki</t>
  </si>
  <si>
    <t>zubko@caos-a.geophys.tohoku.ac.jp</t>
  </si>
  <si>
    <t>Zubko, Evgenij/M-1129-2017</t>
  </si>
  <si>
    <t>Zubko, Evgenij/0000-0001-9994-923X; Muinonen, Karri/0000-0001-8058-2642</t>
  </si>
  <si>
    <t>A178</t>
  </si>
  <si>
    <t>WOS:000257683100333</t>
  </si>
  <si>
    <t>Rose, JM; Vora, NM; Caron, DA</t>
  </si>
  <si>
    <t>Rose, Julie M.; Vora, Neil M.; Caron, David A.</t>
  </si>
  <si>
    <t>Effect of temperature and prey type on nutrient regeneration by an Antarctic bacterivorous protist</t>
  </si>
  <si>
    <t>MICROBIAL ECOLOGY</t>
  </si>
  <si>
    <t>Article</t>
  </si>
  <si>
    <t>MICROFLAGELLATE FOOD-CHAIN; EXCRETION RATES; GROWTH-RATES; PHOSPHORUS; PHYTOPLANKTON; DYNAMICS; NITROGEN; CARBON; BACTERIOPLANKTON; PARAPHYSOMONAS</t>
  </si>
  <si>
    <t>Experimental studies were carried out on an Antarctic isolate of the heterotrophic nanoflagellate Paraphysomonas imperforata to examine the efficiency of incorporation and remineralization of nitrogen and phosphorus from bacterial prey. Experiments were carried out over a temperature range from ambient Antarctic temperature (0 degrees C) to 10 degrees C. Temperature had a marked effect on the maximal growth rate of the phagotrophic nanoflagellate. Growth rate in the presence of high prey abundance ranged from 0.6 day-1 at 0 degrees C to 2.6 day(-1) at 10 degrees C. In contrast, temperature had no discernable effect on the efficiencies of incorporation and remineralization of major nutrients by P. imperforata. The efficiencies of phosphorus and nitrogen incorporation from prey biomass averaged over the temperature range examined were 58 and 39%, respectively, for the two elements. Ammonium and phosphate were the dominant forms of dissolved nitrogen and phosphorus appearing in the culture medium during the grazing phase of the experiments. Overall, dissolved organic nitrogen and phosphorus constituted minor components of these elements released by the grazing activities of the protist. The results of this study indicated that incorporation/remineralization of nitrogen and phosphorus contained in prey was relatively unaffected by culture temperature in this heterotrophic nanoflagellate, although low temperature significantly depressed its growth rate. This finding has important implications for energy utilization and elemental cycling in perennially cold ecosystems and is at odds with conclusions that have been reached in some previous studies regarding the growth efficiency of phagotrophic Antarctic protists.</t>
  </si>
  <si>
    <t>[Rose, Julie M.; Vora, Neil M.; Caron, David A.] Univ So Calif, Dept Biol Sci, Los Angeles, CA 90089 USA</t>
  </si>
  <si>
    <t>University of Southern California</t>
  </si>
  <si>
    <t>Rose, JM (corresponding author), Woods Hole Oceanog Inst, Dept Biol, MS 32, Woods Hole, MA 02543 USA.</t>
  </si>
  <si>
    <t>jrose@whoi.edu</t>
  </si>
  <si>
    <t>Vora, Neil Manhar/AAJ-7269-2021</t>
  </si>
  <si>
    <t>Vora, Neil Manhar/0000-0002-4989-3108; Rose, Julie/0000-0001-9796-9974</t>
  </si>
  <si>
    <t>SPRINGER</t>
  </si>
  <si>
    <t>NEW YORK</t>
  </si>
  <si>
    <t>233 SPRING ST, NEW YORK, NY 10013 USA</t>
  </si>
  <si>
    <t>0095-3628</t>
  </si>
  <si>
    <t>MICROB ECOL</t>
  </si>
  <si>
    <t>Microb. Ecol.</t>
  </si>
  <si>
    <t>10.1007/s00248-007-9328-9</t>
  </si>
  <si>
    <t>Ecology; Marine &amp; Freshwater Biology; Microbiology</t>
  </si>
  <si>
    <t>Environmental Sciences &amp; Ecology; Marine &amp; Freshwater Biology; Microbiology</t>
  </si>
  <si>
    <t>309PM</t>
  </si>
  <si>
    <t>WOS:000256472700010</t>
  </si>
  <si>
    <t>Davis, CS; Stirling, I; Strobeck, C; Coltman, DW</t>
  </si>
  <si>
    <t>Davis, Corey S.; Stirling, Ian; Strobeck, Curtis; Coltman, David W.</t>
  </si>
  <si>
    <t>Population structure of ice-breeding seals</t>
  </si>
  <si>
    <t>MOLECULAR ECOLOGY</t>
  </si>
  <si>
    <t>Antarctic; Arctic; F(ST); microsatellite; pinnipeds; population genetics</t>
  </si>
  <si>
    <t>MULTILOCUS GENOTYPE DATA; WEDDELL SEALS; LEPTONYCHOTES-WEDDELLI; PHOCA-HISPIDA; UNDERWATER VOCALIZATIONS; LEOPARD SEALS; RINGED SEALS; ERIGNATHUS-BARBATUS; HALICHOERUS-GRYPUS; HYDRURGA-LEPTONYX</t>
  </si>
  <si>
    <t>The development of population genetic structure in ice-breeding seal species is likely to be shaped by a combination of breeding habitat and life-history characteristics. Species that return to breed on predictable fast-ice locations are more likely to exhibit natal fidelity than pack-ice-breeding species, which in turn facilitates the development of genetic differentiation between subpopulations. Other aspects of life history such as geographically distinct vocalizations, female gregariousness, and the potential for polygynous breeding may also facilitate population structure. Based on these factors, we predicted that fast-ice-breeding seal species (the Weddell and ringed seal) would show elevated genetic differentiation compared to pack-ice-breeding species (the leopard, Ross, crabeater and bearded seals). We tested this prediction using microsatellite analysis to examine population structure of these six ice-breeding species. Our results did not support this prediction. While none of the Antarctic pack-ice species showed statistically significant population structure, the bearded seal of the Arctic pack ice showed strong differentiation between subpopulations. Again in contrast, the fast-ice-breeding Weddell seal of the Antarctic showed clear evidence for genetic differentiation while the ringed seal, breeding in similar habitat in the Arctic, did not. These results suggest that the development of population structure in ice-breeding phocid seals is a more complex outcome of the interplay of phylogenetic and ecological factors than can be predicted on the basis of breeding substrate and life-history characteristics.</t>
  </si>
  <si>
    <t>[Davis, Corey S.; Stirling, Ian; Strobeck, Curtis; Coltman, David W.] Univ Alberta, Dept Biol Sci, Edmonton, AB T6G 2E9, Canada; [Stirling, Ian] Canadian Wildlife Serv, Edmonton, AB T6H 3S5, Canada</t>
  </si>
  <si>
    <t>University of Alberta; Environment &amp; Climate Change Canada; Canadian Wildlife Service</t>
  </si>
  <si>
    <t>Coltman, DW (corresponding author), Univ Alberta, Dept Biol Sci, Edmonton, AB T6G 2E9, Canada.</t>
  </si>
  <si>
    <t>dcoltman@ualberta.ca</t>
  </si>
  <si>
    <t>Coltman, Dave/HZL-7279-2023; Strobeck, Curtis/E-9998-2011; Davis, Corey/I-4058-2014</t>
  </si>
  <si>
    <t>Coltman, Dave/0000-0002-1268-2307; Davis, Corey/0000-0003-4362-0659</t>
  </si>
  <si>
    <t>0962-1083</t>
  </si>
  <si>
    <t>MOL ECOL</t>
  </si>
  <si>
    <t>Mol. Ecol.</t>
  </si>
  <si>
    <t>10.1111/j.1365-294X.2008.03819.x</t>
  </si>
  <si>
    <t>Biochemistry &amp; Molecular Biology; Ecology; Evolutionary Biology</t>
  </si>
  <si>
    <t>Biochemistry &amp; Molecular Biology; Environmental Sciences &amp; Ecology; Evolutionary Biology</t>
  </si>
  <si>
    <t>316AT</t>
  </si>
  <si>
    <t>WOS:000256922000004</t>
  </si>
  <si>
    <t>Bridge, PD; Schlitt, T; Cannon, PF; Buddie, AG; Baker, M; Borman, AM</t>
  </si>
  <si>
    <t>Bridge, P. D.; Schlitt, T.; Cannon, P. F.; Buddie, A. G.; Baker, M.; Borman, A. M.</t>
  </si>
  <si>
    <t>Domain II hairpin structure in ITS1 sequences as an aid in differentiating recently evolved animal and plant pathogenic fungi</t>
  </si>
  <si>
    <t>MYCOPATHOLOGIA</t>
  </si>
  <si>
    <t>Colletotrichum; Trichophyton; Arthroderma; ITS; structural models; sequence analysis</t>
  </si>
  <si>
    <t>INTERNAL TRANSCRIBED SPACER-1; NUCLEAR RIBOSOMAL DNA; RNA SECONDARY STRUCTURE; PHYLOGENETIC CLASSIFICATION; COLLETOTRICHUM; IDENTIFICATION; PREDICTION; ALIGNMENT; REGIONS; PCR</t>
  </si>
  <si>
    <t>The hypothesis that ITS structural features can be used to define fungal groups, where sequence analysis is unsatisfactory, was examined in plant and animal pathogenic fungi. Structural models of ITS1 regions were predicted for presumed closely related species in Colletotrichum and Trichophyton anamorphs of Arthroderma species. Structural alignment of models and comparison with ITS sequence analysis identified a variable region in a conserved hairpin formed from a common inverted repeat. Thirteen different hairpin structure models were obtained for Colletotrichum species and five different models were obtained for Trichophyton species. The different structure types could be matched to individual species and species complexes as defined by ITS sequence analysis.</t>
  </si>
  <si>
    <t>[Bridge, P. D.; Schlitt, T.] British Antarctic Survey, Div Biol Sci, Cambridge CB3 0ET, England; [Cannon, P. F.; Buddie, A. G.] CABI Europe UK, Egham TW20 9TY, Surrey, England; [Baker, M.] William Harvey Hosp, E Kent Microbiol Serv, Ashford TN24 0LZ, Kent, England; [Borman, A. M.] Hlth Protect Agcy SW Reg Lab, Mycol Reference Lab, Bristol BS2 8EL, Avon, England</t>
  </si>
  <si>
    <t>UK Research &amp; Innovation (UKRI); Natural Environment Research Council (NERC); NERC British Antarctic Survey</t>
  </si>
  <si>
    <t>Bridge, PD (corresponding author), British Antarctic Survey, Div Biol Sci, High Cross,Madingley Rd, Cambridge CB3 0ET, England.</t>
  </si>
  <si>
    <t>pdbr@bas.ac.uk</t>
  </si>
  <si>
    <t>Schlitt, Thomas/F-2123-2010; Borman, Andy/H-3663-2019; Schlitt, Thomas/GWQ-8928-2022</t>
  </si>
  <si>
    <t>Borman, Andy/0000-0003-0585-5721; Schlitt, Thomas/0000-0002-0508-3971</t>
  </si>
  <si>
    <t>Natural Environment Research Council [bas010015] Funding Source: researchfish; NERC [bas010015] Funding Source: UKRI</t>
  </si>
  <si>
    <t>Natural Environment Research Council(UK Research &amp; Innovation (UKRI)Natural Environment Research Council (NERC)); NERC(UK Research &amp; Innovation (UKRI)Natural Environment Research Council (NERC))</t>
  </si>
  <si>
    <t>DORDRECHT</t>
  </si>
  <si>
    <t>VAN GODEWIJCKSTRAAT 30, 3311 GZ DORDRECHT, NETHERLANDS</t>
  </si>
  <si>
    <t>0301-486X</t>
  </si>
  <si>
    <t>1573-0832</t>
  </si>
  <si>
    <t>Mycopathologia</t>
  </si>
  <si>
    <t>10.1007/s11046-008-9094-3</t>
  </si>
  <si>
    <t>Mycology</t>
  </si>
  <si>
    <t>320EB</t>
  </si>
  <si>
    <t>WOS:000257215400001</t>
  </si>
  <si>
    <t>Roleda, MY; Zacher, K; Wulff, A; Hanelt, D; Wiencke, C</t>
  </si>
  <si>
    <t>Roleda, Michael Y.; Zacher, Katharina; Wulff, Angela; Hanelt, Dieter; Wiencke, Christian</t>
  </si>
  <si>
    <t>Susceptibility of spores of different ploidy levels from Antarctic Gigartina skottsbergii (Gigartinales, Rhodophyta) to ultraviolet radiation</t>
  </si>
  <si>
    <t>PHYCOLOGIA</t>
  </si>
  <si>
    <t>carpospore; cyclobutane pyrimidine dimer; DNA damage repair; life history; mycosporine-like amino acids; optimum quantum yield; P-E curve; tetraspore</t>
  </si>
  <si>
    <t>UV-RADIATION; DEPTH DISTRIBUTION; LIFE STAGES; DNA-DAMAGE; PHOTOSYNTHESIS; ZOOSPORES; SENSITIVITY; POPULATION; MACROALGAE; GROWTH</t>
  </si>
  <si>
    <t>Haploid tetraspores and diploid carpospores from Antarctic Gigartina skottsbergii were exposed in the laboratory to photosynthetically active radiation (400-700 nm = P), P + ultraviolet (UV)-A radiation (320-700 nm = PA) and P + UV-A + UV-B radiation (280-700 nm = PAB). Photosynthetic performance, DNA damage and repair, spore mortality, and an initial characterization of the UV-absorbing mycosporine-like amino acids (MAAs) were studied. Rapid photosynthesis vs irradiance (E) curves of freshly released spores showed that both tetraspores and carpospores were low-light adapted (E-k = 44 +/- 2 and 54 +/- 2 mu mol photons m(-2) s(-1), respectively). The light-harvesting and photosynthetic conversion efficiencies were similar (alpha = 0.13), whereas photosynthetic capacity in terms of optimum quantum yield (F-v/F-m) and relative electron transport rate (rETR(max)) were significantly higher in carpospores. Photoinhibition and recovery of photosynthesis were not significantly different between spore ploidy but were significantly affected by radiation and exposure time treatments. Accumulation of DNA damage was UV-B dose dependent and significantly higher in tetraspores than in carpospores. After 2 days postcultivation, DNA lesions were completely repaired in spores exposed to UV-B dose less than 1.2 X 10(4) J m(-2). The dynamic recovery of photosynthetic capacity as well as effective DNA repair mechanism contributed to the relatively low spore mortality (4-14%). A substantial amount of UV-screening MAAs shinorine and palythine were observed for the first time in spores of Gigartinales. This study on stress and physiological characterization of seaweed propagules is important to understand recruitment dynamics and life history phase dominance in the field.</t>
  </si>
  <si>
    <t>[Roleda, Michael Y.] Univ Kiel, Inst Polar Ecol, D-24148 Kiel, Germany; [Zacher, Katharina; Wiencke, Christian] Alfred Wegener Inst Polar &amp; Marine Res, Sect Seaweed Biol, D-27570 Bremerhaven, Germany; [Wulff, Angela] Univ Gothenburg, Dept Marine Ecol Marine Bot, SE-40530 Gothenburg, Sweden; [Hanelt, Dieter] Univ Hamburg, Biozentrum Klein Flottbek, D-22609 Hamburg, Germany</t>
  </si>
  <si>
    <t>University of Kiel; Helmholtz Association; Alfred Wegener Institute, Helmholtz Centre for Polar &amp; Marine Research; University of Gothenburg; University of Hamburg</t>
  </si>
  <si>
    <t>Roleda, MY (corresponding author), Univ Kiel, Inst Polar Ecol, Wischhofstr 1-3,Bldg 12, D-24148 Kiel, Germany.</t>
  </si>
  <si>
    <t>mroleda@ipoe.uni-kiel.de</t>
  </si>
  <si>
    <t>Roleda, Michael Y./H-9645-2019; Hanelt, Dieter/E-6659-2017</t>
  </si>
  <si>
    <t>Roleda, Michael Y./0000-0003-0568-9081;</t>
  </si>
  <si>
    <t>TAYLOR &amp; FRANCIS LTD</t>
  </si>
  <si>
    <t>ABINGDON</t>
  </si>
  <si>
    <t>2-4 PARK SQUARE, MILTON PARK, ABINGDON OR14 4RN, OXON, ENGLAND</t>
  </si>
  <si>
    <t>0031-8884</t>
  </si>
  <si>
    <t>2330-2968</t>
  </si>
  <si>
    <t>Phycologia</t>
  </si>
  <si>
    <t>10.2216/PH07-84.1</t>
  </si>
  <si>
    <t>Plant Sciences; Marine &amp; Freshwater Biology</t>
  </si>
  <si>
    <t>323UE</t>
  </si>
  <si>
    <t>WOS:000257473100003</t>
  </si>
  <si>
    <t>Pushparaj, B; Buccioni, A; Paperi, R; Piccardi, R; Ena, A; Carlozzi, P; Sili, C</t>
  </si>
  <si>
    <t>Pushparaj, Benjamin; Buccioni, Arianna; Paperi, Raffaella; Piccardi, Raffaella; Ena, Alba; Carlozzi, Pietro; Sili, Claudio</t>
  </si>
  <si>
    <t>Fatty acid composition of Antarctic cyanobacteria</t>
  </si>
  <si>
    <t>antarctic cyanobacterial lipids; arachidonic acid; fatty acids; nutraceuticals</t>
  </si>
  <si>
    <t>The 31 Antarctic cyanobacterial strains, object of this study, were isolated from south polar lake sediments, soil and lichen associations and belong to the genera of Cyanothece, Chondrocystis, Leptolyngbya, Pseudophormidium, Phormidium, Hormoscilla and Nostoc. They are maintained in the Culture Collection of the Istituto per lo Studio degli Ecosistemi (ISE-CNR, Florence). The fatty acid composition varied among the strains, with relatively high quantities of polyunsaturated fatty acids. Arachidonic acid was found in two strains of Phormidium pseudopristleyi at 24% and 32% of the total fatty acid content. The total lipid content and the C/N ratio varied among strains from 13% to 9% and 3.7 to 11.2, respectively. The diversity of saturated and unsaturated fatty acid composition among the Antarctic strains and their possible application as nutrient supplements are discussed.</t>
  </si>
  <si>
    <t>[Pushparaj, Benjamin; Paperi, Raffaella; Piccardi, Raffaella; Ena, Alba; Carlozzi, Pietro; Sili, Claudio] ISE CNR, Ist Studio Ecosistemi, I-50019 Florence, Italy; [Buccioni, Arianna] Univ Florence, Dipartimento Sci Zootecn, I-50144 Florence, Italy</t>
  </si>
  <si>
    <t>Consiglio Nazionale delle Ricerche (CNR); Istituto per lo Studio degli Ecosistemi (ISE-CNR); University of Florence</t>
  </si>
  <si>
    <t>Pushparaj, B (corresponding author), ISE CNR, Ist Studio Ecosistemi, Via Madonna Piano 10, I-50019 Florence, Italy.</t>
  </si>
  <si>
    <t>benjamin@ise.cnr.it</t>
  </si>
  <si>
    <t>Ena, Alba/C-4981-2009; Pushparaj, Benjamin/B-8185-2009; Carlozzi, Pietro/ABI-5604-2020; Carlozzi, Pietro/B-7947-2009; Carlozzi, Pietro/P-4832-2019</t>
  </si>
  <si>
    <t>Carlozzi, Pietro/0000-0001-6197-5563; Carlozzi, Pietro/0000-0001-6197-5563; BUCCIONI, ARIANNA/0000-0003-3289-1840</t>
  </si>
  <si>
    <t>INT PHYCOLOGICAL SOC</t>
  </si>
  <si>
    <t>LAWRENCE</t>
  </si>
  <si>
    <t>NEW BUSINESS OFFICE, PO BOX 1897, LAWRENCE, KS 66044-8897 USA</t>
  </si>
  <si>
    <t>10.2216/PH07-90.1</t>
  </si>
  <si>
    <t>WOS:000257473100008</t>
  </si>
  <si>
    <t>Hünken, M; Harder, J; Kirst, GO</t>
  </si>
  <si>
    <t>Huenken, M.; Harder, J.; Kirst, G. O.</t>
  </si>
  <si>
    <t>Epiphytic bacteria on the Antarctic ice diatom Amphiprora kufferathii Manguin cleave hydrogen peroxide produced during algal photosynthesis</t>
  </si>
  <si>
    <t>PLANT BIOLOGY</t>
  </si>
  <si>
    <t>Antarctic; diatom; epiphytic bacteria; hydrogen peroxide; photosynthesis; proteobacteria; sea ice</t>
  </si>
  <si>
    <t>SEA-ICE; MICROBIAL COMMUNITIES; OXIDATIVE STRESS; MARINE DIATOM; WEDDELL SEA; SYSTEM; LEAVES; LIGHT; WATER; CHLOROPLASTS</t>
  </si>
  <si>
    <t>The Antarctic ice diatom Amphiprora kufferathii Manguin is always accompanied by epiphytic bacteria in its natural habitat. To investigate the nature of this relationship, axenic cultures of A. kufferathii were obtained by ampicillin treatment. Diatom cultures without bacteria were less dense. The bacteria were shown to consume hydrogen peroxide produced by the diatom during photosysnthesis and algal photosynthesis after a hydrogen peroxide shock recovered faster in the presence of bacteria. Three proteobacterial strains isolated from a culture of A. kufferathii were phylogenetically affiliated with the alphaproteobacterial genus Sulfitobacter, the gammaproteobacterial genus Colwellia, and the genus Pibocella of the Bacteriodetes. Native protein gel electrophoresis and enzyme activity staining revealed the presence of superoxide dismutase and glutathione reductase in the isolated bacteria and in A. kufferathii cultures. Catalase was detected in bacterial extracts but not in axenic cultures of A. kufferathii. These observations indicate that the epiphytic bacteria make a significant contribution to the diatom's antioxidative defences. The relationship between the bacteria and A. kufferathii seems to be beneficial for both partners and enhances growth of Amphiprora in the sea ice.</t>
  </si>
  <si>
    <t>[Huenken, M.; Kirst, G. O.] Univ Bremen, Bremen, Germany; [Harder, J.] Max Planck Inst Marine Microbiol, Dept Microbiol, Bremen, Germany</t>
  </si>
  <si>
    <t>University of Bremen; Max Planck Society</t>
  </si>
  <si>
    <t>Hünken, M (corresponding author), Diagnost Syst Technol, Hagenower Str 73, D-19061 Schwerin, Germany.</t>
  </si>
  <si>
    <t>mark.huenken@dst-diagnostic.com</t>
  </si>
  <si>
    <t>Harder, Jens/0000-0001-9440-3609</t>
  </si>
  <si>
    <t>1435-8603</t>
  </si>
  <si>
    <t>1438-8677</t>
  </si>
  <si>
    <t>Plant Biol.</t>
  </si>
  <si>
    <t>10.1111/j.1438-8677.2008.00040.x</t>
  </si>
  <si>
    <t>Plant Sciences</t>
  </si>
  <si>
    <t>312SC</t>
  </si>
  <si>
    <t>WOS:000256690100012</t>
  </si>
  <si>
    <t>Wheeler, K; Miyata, Y; Valeriote, FA; Baker, B</t>
  </si>
  <si>
    <t>Wheeler, K.; Miyata, Y.; Valeriote, F. A.; Baker, B.</t>
  </si>
  <si>
    <t>Further investigations into abeohyousterone, a new ecdysteroid from the Antarctic tunicate Synoicum adareanum</t>
  </si>
  <si>
    <t>PLANTA MEDICA</t>
  </si>
  <si>
    <t>7th Joint Meeting of the Association-Francophone-pour-l'Enselgnement-et-la-Recherche-en-Pharmacognosie/American-Society-of-Pharmacognosy/Society-for-Medicinal-Plant-Research/Phytochem-Society-of-Europe/Societa-Italiana-di-Fitochimica</t>
  </si>
  <si>
    <t>AUG 03-08, 2008</t>
  </si>
  <si>
    <t>Athens, GREECE</t>
  </si>
  <si>
    <t>[Wheeler, K.; Miyata, Y.; Baker, B.] Univ S Florida, Dept Chem, Tampa, FL 33620 USA; [Valeriote, F. A.] Univ S Florida, Ctr Mol Divers Drug Design Discovery &amp; Delivery, Tampa, FL 33620 USA; [Valeriote, F. A.; Baker, B.] Josephine Ford Canc Ctr, Detroit, MI 48202 USA</t>
  </si>
  <si>
    <t>State University System of Florida; University of South Florida; State University System of Florida; University of South Florida</t>
  </si>
  <si>
    <t>Baker, Bill/N-4312-2019</t>
  </si>
  <si>
    <t>GEORG THIEME VERLAG KG</t>
  </si>
  <si>
    <t>STUTTGART</t>
  </si>
  <si>
    <t>RUDIGERSTR 14, D-70469 STUTTGART, GERMANY</t>
  </si>
  <si>
    <t>0032-0943</t>
  </si>
  <si>
    <t>PLANTA MED</t>
  </si>
  <si>
    <t>Planta Med.</t>
  </si>
  <si>
    <t>Plant Sciences; Chemistry, Medicinal; Integrative &amp; Complementary Medicine; Pharmacology &amp; Pharmacy</t>
  </si>
  <si>
    <t>Plant Sciences; Pharmacology &amp; Pharmacy; Integrative &amp; Complementary Medicine</t>
  </si>
  <si>
    <t>334ZY</t>
  </si>
  <si>
    <t>WOS:000258261801016</t>
  </si>
  <si>
    <t>Hunt, BPV; Gurney, LJ; Pakhomov, EA</t>
  </si>
  <si>
    <t>Hunt, Brian P. V.; Gurney, Leigh J.; Pakhomov, Evgeny A.</t>
  </si>
  <si>
    <t>Time-series analysis of hydrological and biological variability on the Prince Edward Island (Southern Ocean) shelf</t>
  </si>
  <si>
    <t>POLAR BIOLOGY</t>
  </si>
  <si>
    <t>time-series; Eulerian study; Prince Edward Islands; sub-Antarctic; mesozooplankton</t>
  </si>
  <si>
    <t>SHRIMP NAUTICARIS-MARIONIS; FOOD-CONSUMPTION; ZOOPLANKTON; ARCHIPELAGO; ENVIRONMENT; DYNAMICS; VICINITY; BIOMASS</t>
  </si>
  <si>
    <t>Eulerian time-series were completed at three sites on the south eastern shelf of the Sub-Antarctic Prince Edward Islands (PEI), from 9 to 27 April 2000, to investigate the spatial and temporal variability of mesozooplankton communities in relation to on-shelf hydrodynamics. Surface temperature and phytoplankton biomass were recorded daily at all three sites, while two Bongo net tows and vertical temperature profiles were collected daily at two sites. Contrary to predictions of on-shelf water retention at low ambient current velocities, cross-correlation analysis identified a northward advection of similar to 8.23 cm s(-1) over the study area. Day to day changes in both physical and biological parameters were associated with cross-shelf advection. However, sea temperature had a narrow range of 6.2-7.4 degrees C, while average between sample Bray-Curtis similarity in zooplankton communities was high, exceeding 75%. The relatively consistent average sample biomass amounted to similar to 494 tonnes dry weight of mesozooplankton per day being advected onto the south eastern sector of the PEI shelf. We hypothesise that the observed stability of both physical and biological parameters was due to the Sub-Antarctic Front, with its high volume transport and steep physical gradients, being far to the north of the islands. Spatial and temporal variability of hydrodynamics on the PEI shelf, and particularly its relationship to shifting frontal positions, is highlighted as a future research area necessary to quantify the gross delivery of allochthonous biomass to the PEI ecosystem.</t>
  </si>
  <si>
    <t>[Hunt, Brian P. V.; Gurney, Leigh J.; Pakhomov, Evgeny A.] Univ British Columbia, Dept Earth &amp; Ocean Sci, Vancouver, BC V6T 1Z4, Canada; [Pakhomov, Evgeny A.] Univ Ft Hare, Dept Zool, ZA-5700 Alice, South Africa</t>
  </si>
  <si>
    <t>University of British Columbia; University of Fort Hare</t>
  </si>
  <si>
    <t>Hunt, BPV (corresponding author), Univ British Columbia, Dept Earth &amp; Ocean Sci, 6339 Stores Rd, Vancouver, BC V6T 1Z4, Canada.</t>
  </si>
  <si>
    <t>bhunt@eos.ubc.ca</t>
  </si>
  <si>
    <t>0722-4060</t>
  </si>
  <si>
    <t>POLAR BIOL</t>
  </si>
  <si>
    <t>Polar Biol.</t>
  </si>
  <si>
    <t>10.1007/s00300-008-0427-y</t>
  </si>
  <si>
    <t>Biodiversity Conservation; Ecology</t>
  </si>
  <si>
    <t>Biodiversity &amp; Conservation; Environmental Sciences &amp; Ecology</t>
  </si>
  <si>
    <t>309RG</t>
  </si>
  <si>
    <t>WOS:000256477300001</t>
  </si>
  <si>
    <t>Hahn, S; Ritz, MS; Reinhardt, K</t>
  </si>
  <si>
    <t>Hahn, S.; Ritz, M. S.; Reinhardt, K.</t>
  </si>
  <si>
    <t>Marine foraging and annual fish consumption of a south polar skua population in the maritime Antarctic</t>
  </si>
  <si>
    <t>KING-GEORGE-ISLAND; FOOD-WEB; SHETLAND ISLANDS; CATHARACTA-MACCORMICKI; NOTOTHENIOID FISH; MESOPELAGIC FISH; WEDDELL SEA; BROWN SKUAS; ELECTRONA-ANTARCTICA; BIRD-ISLAND</t>
  </si>
  <si>
    <t>Pelagic fish are an important component of Antarctic food webs but few quantitative data exist on energy transfer from fish to seabirds for the Seasonal Pack-ice Zone. We studied a local population of south polar, skuas Catharacta maccormicki during a whole breeding cycle and estimated its entire annual food consumption. The lengths of foraging trips suggested that skuas foraged in an area of 817 km(2) of coastal waters around the breeding site. Their fish prey consisted almost entirely of two pelagic species, Electrona antarctica and Pleuragramma antarcticum, with individual mean energy contents of 28.62 and 30.26 kJ/g dry weight and body masses of 4.6 and 10.9 g, respectively. Total energy budget estimates of the entire south polar skua population resulted in 3 and 5 tons of pelagic fish caught per season (1994 and 2001, respectively), wherein a single breeding pair raising two chicks requires approximately 115.7 kg E. antarctica and 24.4 kg P. antarcticum. Our study suggests that the pelagic fish in coastal areas are highly important for surface feeding seabirds in the maritime Antarctic.</t>
  </si>
  <si>
    <t>[Hahn, S.] Swiss Ornithol Inst, CH-6204 Sempach, Switzerland; [Hahn, S.; Ritz, M. S.; Reinhardt, K.] Univ Jena, Inst Ecol, D-07743 Jena, Germany; [Hahn, S.] Netherlands Inst Ecol NIOO KNAW, Dept Plant Anim Interact, Ctr Limnol, NL-3600 BG Maarssen, Netherlands; [Reinhardt, K.] Univ Sheffield, Dept Anim &amp; Plant Sci, Sheffield S10 2TN, S Yorkshire, England</t>
  </si>
  <si>
    <t>Swiss Ornithological Institute; Friedrich Schiller University of Jena; Royal Netherlands Academy of Arts &amp; Sciences; Netherlands Institute of Ecology (NIOO-KNAW); University of Sheffield</t>
  </si>
  <si>
    <t>Hahn, S (corresponding author), Swiss Ornithol Inst, CH-6204 Sempach, Switzerland.</t>
  </si>
  <si>
    <t>steffen.hahn@vogelwarte.ch</t>
  </si>
  <si>
    <t>Ritz, Markus S./A-5321-2008</t>
  </si>
  <si>
    <t>Natural Environment Research Council [NE/D009634/1] Funding Source: researchfish; NERC [NE/D009634/1] Funding Source: UKRI</t>
  </si>
  <si>
    <t>10.1007/s00300-008-0436-x</t>
  </si>
  <si>
    <t>WOS:000256477300007</t>
  </si>
  <si>
    <t>Kröger, K; Rowden, AA</t>
  </si>
  <si>
    <t>Kroeger, Kerstin; Rowden, Ashley A.</t>
  </si>
  <si>
    <t>Polychaete assemblages of the northwestern Ross Sea shelf:: worming out the environmental drivers of Antarctic macrobenthic assemblage composition</t>
  </si>
  <si>
    <t>Ross Sea shelf; benthic macroinvertebrate assemblages; polychaeta; environmental factors; distribution patterns; Antarctic</t>
  </si>
  <si>
    <t>VICTORIA LAND COAST; BENTHIC COMMUNITIES; ORGANIC-MATTER; WEDDELL SEA; DIVERSITY; SEDIMENT; ICE; BIODIVERSITY; IMPACT; VARIABILITY</t>
  </si>
  <si>
    <t>We have limited understanding of which environmental factors structure the distribution patterns and composition of Antarctic macrobenthos assemblages, and the spatial scales on which such factors operate. In 2004, the BioRoss Survey was conducted on the northwestern Ross Sea shelf between Cape Adare and Cape Hallett in depths of 50-750 m to describe and quantify the assemblage patterns of benthic macroinvertebrates. In order to determine the influence of primary productivity, disturbance and habitat heterogeneity on the distribution and composition of the macrofaunal assemblages, polychaete data derived from 52 grab samples were analysed. Although differences in the composition of polychaete assemblages among different sampling transects and depth strata were not particularly pronounced (yet statistically significant), the results suggested that large-scale differences in both primary productivity and iceberg disturbance influence distribution patterns. The combination of sediment chl a content, sorting coefficient, sponge spicule content and distance to the nearest iceberg scour best explained polychaete assemblage patterns. This finding supports previous contentions that multiple environmental drivers working at varying scales influence Antarctic shelf assemblages. The results do not supply support for a pronounced decoupling of pelagic and benthic systems, as has been suggested by another study of deeper water benthic assemblages on the Ross Sea shelf.</t>
  </si>
  <si>
    <t>[Kroeger, Kerstin; Rowden, Ashley A.] Natl Inst Water &amp; Atmospher Res, Wellington, New Zealand</t>
  </si>
  <si>
    <t>National Institute of Water &amp; Atmospheric Research (NIWA) - New Zealand</t>
  </si>
  <si>
    <t>Kröger, K (corresponding author), Natl Inst Water &amp; Atmospher Res, POB 14-901, Wellington, New Zealand.</t>
  </si>
  <si>
    <t>k.kroeger@niwa.co.nz</t>
  </si>
  <si>
    <t>Rowden, Ashley/O-9358-2019; Rowden, Ashley/ABG-6010-2020</t>
  </si>
  <si>
    <t>Rowden, Ashley/0000-0003-2975-2524</t>
  </si>
  <si>
    <t>ONE NEW YORK PLAZA, SUITE 4600, NEW YORK, NY, UNITED STATES</t>
  </si>
  <si>
    <t>1432-2056</t>
  </si>
  <si>
    <t>10.1007/s00300-008-0437-9</t>
  </si>
  <si>
    <t>WOS:000256477300008</t>
  </si>
  <si>
    <t>Hudson, HA; Brauer, PR; Scofield, MA; Petzel, DH</t>
  </si>
  <si>
    <t>Hudson, H. A.; Brauer, P. R.; Scofield, M. A.; Petzel, D. H.</t>
  </si>
  <si>
    <t>Effects of warm acclimation on serum osmolality, cortisol and hematocrit levels in the Antarctic fish, Trematomus bernacchii</t>
  </si>
  <si>
    <t>temperature acclimation; cortisol; osmolality; hematocrit; teleost</t>
  </si>
  <si>
    <t>STRESS-RESPONSE; NOTOTHENIID FISHES; CHLORIDE CELLS; OREOCHROMIS-MOSSAMBICUS; INTERRENAL TISSUE; HORMONAL-CONTROL; PLASMA-CORTISOL; CYPRINUS-CARPIO; ATPASE ACTIVITY; SPARUS-AURATA</t>
  </si>
  <si>
    <t>Antarctic fish, such as the Trematomus bernacchii, living at -1.9 degrees C maintain a serum osmolality of around 600 mOsm kg(-1), nearly twice that of temperate fish. Upon warm acclimation, Antarctic fish significantly lower their serum osmolality. It has been suggested that this response to warm acclimation is due to stress. The purpose of this study was to determine, whether upon warm acclimation there was a change in the levels of the stress hormone cortisol and hematocrit associated with the decrease in serum osmolality. T. bernacchii were warm acclimated up to 4 weeks and serum osmolality, cortisol and hematocrit were measured. Upon warm acclimation to +1.6 and +3.8 degrees C over the course of 4 weeks, T. bernacchii significantly lowered their serum osmolality (from 547 +/- 4 mOsm kg(-1) to 494 +/- 6 and 489 +/- 4 mOsm kg(-1), respectively), yet did not alter their serum cortisol (29 +/- 6 nl ml(-1)) or hematocrit (22 +/- 1%) levels. These results suggest that warm acclimation does not induce a stress response in T. bernacchii.</t>
  </si>
  <si>
    <t>[Hudson, H. A.; Brauer, P. R.; Petzel, D. H.] Creighton Univ, Sch Med, Dept Biomed Sci, Omaha, NE 68178 USA; [Scofield, M. A.] Creighton Univ, Sch Med, Dept Pharmacol, Omaha, NE 68178 USA</t>
  </si>
  <si>
    <t>Creighton University; Creighton University</t>
  </si>
  <si>
    <t>Petzel, DH (corresponding author), Creighton Univ, Sch Med, Dept Biomed Sci, 2500 Calif Plaza, Omaha, NE 68178 USA.</t>
  </si>
  <si>
    <t>dpetzel@creighton.edu</t>
  </si>
  <si>
    <t>10.1007/s00300-008-0438-8</t>
  </si>
  <si>
    <t>WOS:000256477300009</t>
  </si>
  <si>
    <t>McMinn, A; Hattori, H; Hirawake, T; Iwamoto, A</t>
  </si>
  <si>
    <t>McMinn, A.; Hattori, H.; Hirawake, T.; Iwamoto, A.</t>
  </si>
  <si>
    <t>Preliminary investigation of Okhotsk Sea ice algae; taxonomic composition and photosynthetic activity</t>
  </si>
  <si>
    <t>Okhotsk; sea ice algae; photosynthesis; saroma</t>
  </si>
  <si>
    <t>PHYTOPLANKTON; HOKKAIDO</t>
  </si>
  <si>
    <t>Okhotsk Sea pack ice from Shiretoko in northern Hokkaido, sampled in March 2007, contained microalgal communities dominated by the centric diatoms Thalassiosira nordenskioeldi and T. punctigera. Domination by this genus is very unusual in sea ice. Communities from nearby fast ice at Saroma-ko lagoon were dominated by Detonula conferavea and Odontella aurita. Average microalgal biomass of the Okhotsk Sea pack ice (surface and bottom) was 1.59 +/- 1.09 mu g chla l(-1) and for fast ice (bottom only) at nearby Saroma-ko lagoon, 16.5 +/- 3.2 mu g l(-1) (=31.1 +/- 5.0 mg chla m(-2)). Maximum quantum yield of the Shiretoko pack ice algal communities was 0.618 +/- 0.056 with species-specific data ranging between 0.211 and 0.653. These community values are amongst the highest recorded for sea ice algae. Rapid light curves (RLC) on individual cells indicated maximum relative electron transfer rates (relETR) between 20.8 and 60.6, photosynthetic efficiency values (alpha) between 0.31 and 0.93 and onset of saturation values (E-k) between 33 and 91 mu mol photons m(-2) s(-1). These data imply that the pack ice algal community at Shiretoko was healthy and actively photosynthesising. Maximum quantum yield of the Saroma-ko fast ice community was 0.401 +/- 0.086, with values for different species between 0.361 and 0.560. RLC data from individual Saroma-ko fast ice algal cells indicated relETR between 55.3 and 60.6, alpha values between 0.609 and 0.816 and E (k) values between 74 and 91 mu mol photons m(-2) s(-1) which are consistent with measurements in previous years.</t>
  </si>
  <si>
    <t>[McMinn, A.] Univ Tasmania, Inst Antarctic &amp; So Ocean Studies, Hobart, Tas 7001, Australia; [Hattori, H.; Iwamoto, A.] Hokkaido Tokai Univ, Minami Ku, Sapporo, Hokkaido, Japan; [Hirawake, T.] Hokkaido Univ, Lab Marine Bioresourses &amp; Environm Sensing, Grad Sch Fisheries Sci, Hakodate, Hokkaido, Japan</t>
  </si>
  <si>
    <t>University of Tasmania; Tokai University; Hokkaido University</t>
  </si>
  <si>
    <t>McMinn, A (corresponding author), Univ Tasmania, Inst Antarctic &amp; So Ocean Studies, Private Bag 77, Hobart, Tas 7001, Australia.</t>
  </si>
  <si>
    <t>andrew.mcminn@utas.edu.au</t>
  </si>
  <si>
    <t>McMinn, Andrew/A-9910-2008</t>
  </si>
  <si>
    <t>Hirawake, Toru/0000-0003-0274-6642</t>
  </si>
  <si>
    <t>10.1007/s00300-008-0433-0</t>
  </si>
  <si>
    <t>WOS:000256477300011</t>
  </si>
  <si>
    <t>Smith, VR</t>
  </si>
  <si>
    <t>Smith, Valdon R.</t>
  </si>
  <si>
    <t>Energy flow and nutrient cycling in the Marion Island terrestrial ecosystem: 30 years on</t>
  </si>
  <si>
    <t>POLAR RECORD</t>
  </si>
  <si>
    <t>Review</t>
  </si>
  <si>
    <t>SUB-ANTARCTIC ISLAND; PLANT-COMMUNITIES; HOUSE MICE; CHEMICAL-COMPOSITION; SOIL RESPIRATION; STANDING STOCKS; FERAL CATS; DYNAMICS; FJAELDMARK; NITROGEN</t>
  </si>
  <si>
    <t>This article is a sequel to a word-model description of the ecosystem of sub-Antarctic Marion Island, published in this journal 30 years ago (Smith 1977). It expands on the qualitative considerations of patterns of energy flow and nutrient cycling presented in that paper, by providing quantitative information from subsequent research at the island. Primary production of the island's lowland plant communities is high on an annual basis, because the vegetation has a long growing season due to the lack of severely cold winters or drought. Daily productivity is actually low due to low radiation levels and a cool growing season. The vegetation is particularly efficient regarding its use of nutrients for its growth, but still requires substantial amounts of nutrients to support the high annual production. Seabirds and seals import large quantities of nutrients from the ocean when they breed and moult on the island. They markedly enhance soil and plant nutrient status in the areas in which they occur, and also in adjacent areas. However, by far the greater part of the island's inland vegetation is not directly influenced by birds or seals and most of the nutrients required for plant growth are provided by decomposition of plant litter and peat. Soil invertebrates are crucial facilitators of decomposition processes, which are otherwise restricted by low soil temperatures and high soil moisture contents. Introduced house mice have invaded almost all parts of the island and predate heavily on the invertebrates, thus affecting nutrient mineralisation. This threatens not only the functioning (lowered nutrient availability leading to slower plant growth and the production of a lower quality, more decomposition-recalcitrant plant litter), but also the structure (an altered balance between production and decomposition leads to a change in the relation between peat formation and degradation, which is an important determinant of vegetation succession) of the island's ecosystem. It is suggested that mice may also affect the island's ecology by predating on seabird chicks.</t>
  </si>
  <si>
    <t>Univ Stellenbosch, Dept Bot &amp; Zool, ZA-7602 Matieland, South Africa</t>
  </si>
  <si>
    <t>Stellenbosch University</t>
  </si>
  <si>
    <t>Smith, VR (corresponding author), Univ Stellenbosch, Dept Bot &amp; Zool, Private Bag X1, ZA-7602 Matieland, South Africa.</t>
  </si>
  <si>
    <t>CAMBRIDGE UNIV PRESS</t>
  </si>
  <si>
    <t>32 AVENUE OF THE AMERICAS, NEW YORK, NY 10013-2473 USA</t>
  </si>
  <si>
    <t>0032-2474</t>
  </si>
  <si>
    <t>1475-3057</t>
  </si>
  <si>
    <t>POLAR REC</t>
  </si>
  <si>
    <t>POLAR REC.</t>
  </si>
  <si>
    <t>10.1017/S0032247407007218</t>
  </si>
  <si>
    <t>Ecology; Environmental Sciences</t>
  </si>
  <si>
    <t>Environmental Sciences &amp; Ecology</t>
  </si>
  <si>
    <t>320GS</t>
  </si>
  <si>
    <t>WOS:000257222300002</t>
  </si>
  <si>
    <t>Powell, RB; Kellert, SR; Ham, SH</t>
  </si>
  <si>
    <t>Powell, Robert B.; Kellert, Stephen R.; Ham, Sam H.</t>
  </si>
  <si>
    <t>Antarctic tourists: ambassadors or consumers?</t>
  </si>
  <si>
    <t>ENVIRONMENTAL ATTITUDES; DISTURBANCE; GUIDELINES; VISITORS; BEHAVIOR; BOOTS</t>
  </si>
  <si>
    <t>Two complementary studies were conducted to investigate both the immediate and longer-term influence of Antarctic cruise tourism experiences on participants' knowledge of Antarctica, attitudes toward management issues facing the Antarctic region, and environmental behaviours and future intentions. In addition, the study investigated tourists' attitudes toward visitor guidelines. The results suggest that Antarctica nature-based tourism operators have the potential to provide experiences that educate the public to the importance of Antarctica.</t>
  </si>
  <si>
    <t>[Powell, Robert B.] Clemson Univ, Dept Parks Recreat &amp; Tourism Management, Dept Forestry &amp; Nat Resources, Clemson, SC 29634 USA; [Kellert, Stephen R.] Yale Univ, Sch Forestry &amp; Environm Studies, New Haven, CT 06511 USA; [Ham, Sam H.] Univ Idaho, Dept Conservat Social Sci, Moscow, ID 83844 USA; [Ham, Sam H.] Monash Univ, Clayton, Vic 3800, Australia</t>
  </si>
  <si>
    <t>Clemson University; Yale University; Idaho; University of Idaho; Monash University</t>
  </si>
  <si>
    <t>Powell, RB (corresponding author), Clemson Univ, Dept Parks Recreat &amp; Tourism Management, Dept Forestry &amp; Nat Resources, 281 Lehotsky Hall, Clemson, SC 29634 USA.</t>
  </si>
  <si>
    <t>10.1017/S0032247408007456</t>
  </si>
  <si>
    <t>Science Citation Index Expanded (SCI-EXPANDED); Social Science Citation Index (SSCI)</t>
  </si>
  <si>
    <t>WOS:000257222300004</t>
  </si>
  <si>
    <t>Moore, JK; Wöppke, CL</t>
  </si>
  <si>
    <t>Moore, Jason Kendall; Woeppke, Consuelo Leon</t>
  </si>
  <si>
    <t>The frozen continent:: an Antarctic play</t>
  </si>
  <si>
    <t>Editorial Material</t>
  </si>
  <si>
    <t>This one-act play was recently presented at an Antarctic workshop held at Universidad Maritima de Chile, Vina del Mar, Chile. Apart from being entertaining, it provided an example of how theatre can be used to generate or reinforce interest in polar studies. The script has been translated from Spanish by the playwright.</t>
  </si>
  <si>
    <t>[Moore, Jason Kendall; Woeppke, Consuelo Leon] Ctr Estudios Hemisfericos &amp; Polares, Recreo Vina Del Mar, V Region, Chile</t>
  </si>
  <si>
    <t>Moore, JK (corresponding author), Ctr Estudios Hemisfericos &amp; Polares, Baalmaceda 37-121, Recreo Vina Del Mar, V Region, Chile.</t>
  </si>
  <si>
    <t>10.1017/S0032247408007717</t>
  </si>
  <si>
    <t>WOS:000257222300009</t>
  </si>
  <si>
    <t>Moy, CM; Dunbar, RB; Moreno, PI; Francois, JP; Villa-Martinez, R; Mucciarone, DM; Guilderson, TP; Garreaud, RD</t>
  </si>
  <si>
    <t>Moy, Christopher M.; Dunbar, Robert B.; Moreno, Patricio I.; Francois, Jean-Pierre; Villa-Martinez, Rodrigo; Mucciarone, David M.; Guilderson, Thomas P.; Garreaud, Rene D.</t>
  </si>
  <si>
    <t>Isotopic evidence for hydrologic change related to the westerlies in SW Patagonia, Chile, during the last millennium</t>
  </si>
  <si>
    <t>QUATERNARY SCIENCE REVIEWS</t>
  </si>
  <si>
    <t>CARBON ISOTOPES; SOUTHERN ANDES; ORGANIC-MATTER; LAKE; GROWTH; AGE; PALEOCLIMATE; CIRCULATION; CALIBRATION; DELTA-C-13</t>
  </si>
  <si>
    <t>The Southern Hemisphere westerly winds influence the spatial distribution of precipitation in southern South America and play a significant role in the global carbon cycle, yet little is known about how this important atmospheric circulation feature has varied in the past. Here, we present a sediment core record of late Holocene variability from Lago Guanaco, a small closed-basin lake located in Torres del Paine National Park, Chilean Patagonia. The park is located in the core of the modern wind field and variations in the intensity of the atmospheric circulation directly influence the hydrology of this region. We combine stable isotopic measurements of biogenic carbonate and bulk organic matter to identify two periods of increased evaporation between 900-550 and similar to 400-50 calendar years before present (cal yr BP). The first interval is coincident with the Medieval Climate Anomaly (MCA) while the more recent period is broadly coincident with the timing of the Little Ice Age (LIA). During the LIA interval, we observe simultaneous monotonic increases in the delta O-18 of biogenic carbonate and Nothofagus dombeyi-type pollen, which we interpret as indicative of significant changes in the intensity of the southern westerlies during the last millennium. The isotopic and palynological variations in the Guanaco record are coincident with geochemical variations found in an Antarctic ice core record from Siple Dome, suggesting that the signal preserved in Lago Guanaco is regional rather than local, and that the LIA intensification was accompanied by a poleward shift in the southern margin of the westerlies. In addition, we interpret four periods of increased lake productivity centered on 900, 650, 500, and 200 cal yr BP from simultaneous increases in the delta C-13 of bulk organic material and biogenic carbonate. These increases in lake productivity are most likely tied to increases in summer temperatures. (C) 2008 Elsevier Ltd. All rights reserved.</t>
  </si>
  <si>
    <t>[Moy, Christopher M.; Dunbar, Robert B.; Mucciarone, David M.] Stanford Univ, Dept Geol &amp; Environm Sci, Stanford, CA 94305 USA; [Moreno, Patricio I.; Francois, Jean-Pierre] Univ Chile, Dept Ecol Sci, Santiago, Chile; [Moreno, Patricio I.; Francois, Jean-Pierre] Univ Chile, Inst Ecol &amp; Biodivers, Santiago, Chile; [Villa-Martinez, Rodrigo] Ctr Estudios Cuaternario CEQUA, Punta Arenas 01890, Chile; [Guilderson, Thomas P.] Lawrence Livermore Natl Lab, Ctr Accelerator Mass Spectrometry, Livermore, CA 94550 USA; [Garreaud, Rene D.] Univ Chile, Dept Geophys, Santiago, Chile</t>
  </si>
  <si>
    <t>Stanford University; Universidad de Chile; Universidad de Chile; United States Department of Energy (DOE); Lawrence Livermore National Laboratory; Universidad de Chile</t>
  </si>
  <si>
    <t>Moy, CM (corresponding author), Stanford Univ, Dept Geol &amp; Environm Sci, 450 Serra Mail,Braun Hall,Bldg 320, Stanford, CA 94305 USA.</t>
  </si>
  <si>
    <t>moyc@stanford.edu; dunbar@stanford.edu; pimoreno@uchile.cl; geofrancois@gmail.com; rodrigo.villa@umag.cl; tguilderson@llnl.gov; rgarreau@dgf.uchile.cl</t>
  </si>
  <si>
    <t>Villa, Rodrigo/F-5737-2014; Garreaud, Rene/I-6298-2016; Garreaud, Rene/JFS-4440-2023; Moreno, Patricio/D-2317-2012</t>
  </si>
  <si>
    <t>Villa, Rodrigo/0000-0001-6041-4393; Garreaud, Rene/0000-0002-7875-2443; Guilderson, Thomas/0000-0001-9371-7059; Dunbar, Robert/0000-0002-9728-5609; Mucciarone, David/0000-0003-4482-2463; Moreno, Patricio/0000-0002-1333-6238; Moy, Christopher/0000-0002-2177-5265; Francois, Jean-Pierre/0000-0001-7616-0762</t>
  </si>
  <si>
    <t>PERGAMON-ELSEVIER SCIENCE LTD</t>
  </si>
  <si>
    <t>OXFORD</t>
  </si>
  <si>
    <t>THE BOULEVARD, LANGFORD LANE, KIDLINGTON, OXFORD OX5 1GB, ENGLAND</t>
  </si>
  <si>
    <t>0277-3791</t>
  </si>
  <si>
    <t>QUATERNARY SCI REV</t>
  </si>
  <si>
    <t>Quat. Sci. Rev.</t>
  </si>
  <si>
    <t>13-14</t>
  </si>
  <si>
    <t>10.1016/j.quascirev.2008.03.006</t>
  </si>
  <si>
    <t>Geography, Physical; Geosciences, Multidisciplinary</t>
  </si>
  <si>
    <t>Physical Geography; Geology</t>
  </si>
  <si>
    <t>325QS</t>
  </si>
  <si>
    <t>WOS:000257604000004</t>
  </si>
  <si>
    <t>Lee, JR; Phillips, ER</t>
  </si>
  <si>
    <t>Lee, Jonathan R.; Phillips, Emrys R.</t>
  </si>
  <si>
    <t>Progressive soft sediment deformation within a subglacial shear zone - a hybrid mosaic-pervasive deformation model for Middle Pleistocene glaciotectonised sediments from eastern England</t>
  </si>
  <si>
    <t>ANTARCTIC ICE-SHEET; GLACIOMARINE SEDIMENTATION; MICROSCOPIC EVIDENCE; TILL; GLACIER; NORFOLK; STYLES; STRATIGRAPHY; GLACIATION; PAKEFIELD</t>
  </si>
  <si>
    <t>This paper presents a hybrid 'pervasive' and 'mosaic' model for the progressive deformation of a stratified diamicton complex in eastern England within an active subglacial shear zone. Sedimentary evidence from undeformed low-strain zones towards the base of the sediment pile indicates that the tectonised sediments were originally deposited as a series of subaqueous flows in a glaciolacustrine basin. These sediments have subsequently been deformed during a progressive subglacial shearing event. This event is divided into three stages: ductile folding and sediment remobilisation (D1), brittle faulting in the form of Reidel shears (D2) and hydrofracturing and sediment remobilisation (D3). The dominant control on the pattern and style of deformation appears to relate to the rate of thrust-induced till accretion, and the aquifer properties and pore water content and/or pressure of the deforming sediments. (C) 2008 NERC. Published by Elsevier Ltd. All rights reserved.</t>
  </si>
  <si>
    <t>[Lee, Jonathan R.] British Geol Survey, Keyworth NG12 5GG, Notts, England; [Phillips, Emrys R.] British Geol Survey, Murchison House, Edinburgh EH9 3LA, Midlothian, Scotland</t>
  </si>
  <si>
    <t>UK Research &amp; Innovation (UKRI); Natural Environment Research Council (NERC); NERC British Geological Survey; UK Research &amp; Innovation (UKRI); Natural Environment Research Council (NERC); NERC British Geological Survey</t>
  </si>
  <si>
    <t>Lee, JR (corresponding author), British Geol Survey, Keyworth NG12 5GG, Notts, England.</t>
  </si>
  <si>
    <t>jrlee@bgs.ac.uk</t>
  </si>
  <si>
    <t>Lee, Jonathan/A-9871-2011</t>
  </si>
  <si>
    <t>Lee, Jonathan/0000-0001-8610-2400</t>
  </si>
  <si>
    <t>NERC [bgs05001, bgs05002] Funding Source: UKRI; Natural Environment Research Council [bgs05001, bgs05002] Funding Source: researchfish</t>
  </si>
  <si>
    <t>NERC(UK Research &amp; Innovation (UKRI)Natural Environment Research Council (NERC)); Natural Environment Research Council(UK Research &amp; Innovation (UKRI)Natural Environment Research Council (NERC))</t>
  </si>
  <si>
    <t>10.1016/j.quascirev.2008.03.009</t>
  </si>
  <si>
    <t>Green Accepted</t>
  </si>
  <si>
    <t>WOS:000257604000005</t>
  </si>
  <si>
    <t>Gucciardi, A; Cogo, PE; Traldi, U; Eaton, S; Darch, T; Simonato, M; Ori, C; Carnielli, VP</t>
  </si>
  <si>
    <t>Gucciardi, Antonina; Cogo, Paola E.; Traldi, Umberto; Eaton, Simon; Darch, Tegan; Simonato, Manuela; Ori, Carlo; Carnielli, Virgilio P.</t>
  </si>
  <si>
    <t>Simplified method for microlitre deuterium measurements in water and urine by gas chromatography-high-temperature conversion-isotope ratio mass spectrometry</t>
  </si>
  <si>
    <t>RAPID COMMUNICATIONS IN MASS SPECTROMETRY</t>
  </si>
  <si>
    <t>ELEMENTAL ANALYZER; PRECISION; HYDROGEN; SAMPLES; H-2/H-1; QUANTITIES; H2O</t>
  </si>
  <si>
    <t>Deuterium (H-2) in water and urine can be measured by off-line and, more recently, on-line techniques using isotope ratio mass spectrometry (IRMS). We describe a new simple on-line pyrolysis method for the analysis of H-2/H-1 in water and urine samples by continuous flow IRMS, normally used for H-2/H-1 measurements in organic compounds. A deactivated column connected the split injector to a high-temperature conversion reactor ITC HD), and 0.5 mu L of sample was injected. Accuracy and precision were determined with Vienna Standard Mean Ocean Water (VSMOW), Standard Light Antarctic Precipitation (SLAP), and Greenland Ice Sheet Precipitation (GISP). The range of linearity was measured with a calibration curve of enriched water from 0 up to 0.1 atom percent excess (APE) (i.e. -72 up to 6323 delta per mil (delta D parts per thousand)) with a precision of &lt;5 parts per thousand and accuracy ranging between 1 and 55 parts per thousand. Blinded reanalysis of urine samples by an equilibration device (Gas Bench) and by a dedicated pyrolysis system (TC/EA) was performed and results compared by the Bland-Altman test. Enrichments ranged between 600 and 2400 parts per thousand delta D-VSMOW with a precision of +/- 5 parts per thousand. Urine enrichments described by our method were strongly correlated with values obtained by Gas Bench and TC/EA (p &lt; 0.0001). There was a significant memory effect that was reduced by injecting the sample 15 times and discarding the first 10 injections, together with accurate furnace conditioning and appropriate cleaning of the syringe. Data indicate that the method is accurate, and that it can be used for water and urine deuterium determination when a Gas Bench or TC/EA instrument is not available and the amount of sample is limited. Copyright (C) 2008 John Wiley &amp; Sons, Ltd.</t>
  </si>
  <si>
    <t>[Gucciardi, Antonina; Cogo, Paola E.; Simonato, Manuela] Univ Padua, Dept Pediat, I-35128 Padua, Italy; [Traldi, Umberto] Thermo Fisher Sci, Milan, Italy; [Eaton, Simon] Great Ormond St Hosp Sick Children, Inst Child Hlth, Paediat Surg Unit, London, England; [Darch, Tegan] Great Ormond St Hosp Sick Children, Inst Child Hlth, Nutr Unit, London, England; [Ori, Carlo] Univ Padua, Dept Pharmacol Anaesthesia &amp; Crit Care, I-35128 Padua, Italy; [Carnielli, Virgilio P.] Polytech Univ Marche, Inst Maternal Infantile Sci, Div Neonatol, Ancona, Italy</t>
  </si>
  <si>
    <t>University of Padua; Thermo Fisher Scientific; University of London; University College London; Great Ormond Street Hospital for Children NHS Foundation Trust; University of London; University College London; Great Ormond Street Hospital for Children NHS Foundation Trust; University of Padua; Marche Polytechnic University</t>
  </si>
  <si>
    <t>Gucciardi, A (corresponding author), Univ Padua, Dept Pediat, Via Giustiniani 3, I-35128 Padua, Italy.</t>
  </si>
  <si>
    <t>spec2@child.pedi.unipd.it</t>
  </si>
  <si>
    <t>Darch, Tegan/N-1769-2019; Simonato, Manuela/AAX-5656-2020; Eaton, Simon/C-4942-2008; cogo, paola/J-6918-2018</t>
  </si>
  <si>
    <t>Darch, Tegan/0000-0003-2367-043X; Simonato, Manuela/0000-0002-2745-7305; Eaton, Simon/0000-0003-0892-9204; cogo, paola/0000-0002-6235-140X</t>
  </si>
  <si>
    <t>0951-4198</t>
  </si>
  <si>
    <t>1097-0231</t>
  </si>
  <si>
    <t>RAPID COMMUN MASS SP</t>
  </si>
  <si>
    <t>Rapid Commun. Mass Spectrom.</t>
  </si>
  <si>
    <t>10.1002/rcm.3593</t>
  </si>
  <si>
    <t>Biochemical Research Methods; Chemistry, Analytical; Spectroscopy</t>
  </si>
  <si>
    <t>Biochemistry &amp; Molecular Biology; Chemistry; Spectroscopy</t>
  </si>
  <si>
    <t>320OG</t>
  </si>
  <si>
    <t>WOS:000257243800011</t>
  </si>
  <si>
    <t>Shevnina, EV; Solov'eva, ZS</t>
  </si>
  <si>
    <t>Shevnina, E. V.; Solov'eva, Z. S.</t>
  </si>
  <si>
    <t>Long-term Variability and Methods of Forecasting Dates of Ice Break-up in the Mouth Area of the Ob and Yenisei Rivers</t>
  </si>
  <si>
    <t>RUSSIAN METEOROLOGY AND HYDROLOGY</t>
  </si>
  <si>
    <t>Long-term characteristics of the onset dates of spring ice phases at hydrological stations in the mouth areas of the Ob and Yenisei rivers for 1936-2006 are obtained. The correlations are analyzed between these dates and the frequency of different synoptic processes over the Atlantic and Eurasia in the fall-winter months, the dates when the accumulated temperatures at meteorological stations in the middle parts of the river basins reach 5, 10, 20, 30, and 40 degrees C, and the dates of the start of ice drift at the upstream sections of the Yenisei. Prognostic relations are suggested and test forecasts of the onset dates of ice phases are verified. The percentage of correct forecasts was 67-86%, which makes it possible to recommend the relations for using in prognostic practice. The forecast lead time ranges from 3 to 110 days.</t>
  </si>
  <si>
    <t>[Shevnina, E. V.; Solov'eva, Z. S.] Arctic &amp; Antarctic Res Inst, St Petersburg 199397, Russia</t>
  </si>
  <si>
    <t>Arctic &amp; Antarctic Research Institute</t>
  </si>
  <si>
    <t>Shevnina, EV (corresponding author), Arctic &amp; Antarctic Res Inst, Ul Beringa 38, St Petersburg 199397, Russia.</t>
  </si>
  <si>
    <t>鹏, 田/AAB-6427-2019</t>
  </si>
  <si>
    <t>ALLERTON PRESS INC</t>
  </si>
  <si>
    <t>18 WEST 27TH ST, NEW YORK, NY 10001 USA</t>
  </si>
  <si>
    <t>1068-3739</t>
  </si>
  <si>
    <t>RUSS METEOROL HYDROL</t>
  </si>
  <si>
    <t>Russ. Meteorol. Hydrol.</t>
  </si>
  <si>
    <t>10.3103/S106837390807008X</t>
  </si>
  <si>
    <t>Meteorology &amp; Atmospheric Sciences</t>
  </si>
  <si>
    <t>400KE</t>
  </si>
  <si>
    <t>WOS:000262865700008</t>
  </si>
  <si>
    <t>Sun, JQ; Yuan, W; Gao, YZ</t>
  </si>
  <si>
    <t>Sun JianQi; Yuan Wei; Gao YuZhong</t>
  </si>
  <si>
    <t>Arabian Peninsula-North Pacific Oscillation and its association with the Asian summer monsoon</t>
  </si>
  <si>
    <t>SCIENCE IN CHINA SERIES D-EARTH SCIENCES</t>
  </si>
  <si>
    <t>Arabian Peninsula-North Pacific Oscillation; East Asian summer monsoon; South Asian summer monsoon; wave train; abrupt climate change</t>
  </si>
  <si>
    <t>SEA-LEVEL PRESSURE; INTERANNUAL VARIABILITY; ARCTIC OSCILLATION; TELECONNECTION PATTERN; ANTARCTIC OSCILLATION; GEOPOTENTIAL HEIGHT; WESTERN PACIFIC; EAST-ASIA; EL-NINO; CLIMATE</t>
  </si>
  <si>
    <t>Using correlation and EOF analyses on sea level pressure from 57-year NCEP-NCAR reanalysis data, the Arabian Peninsula-North Pacific Oscillation (APNPO) is identified. The APNPO reflects the co-variability between the North Pacific high and South Asian summer monsoon low. This teleconnection pattern is closely related to the Asian summer monsoon. On interannual timescale, it co-varies with both the East Asian summer monsoon (EASM) and South Asian summer monsoon (SASM); on decadal timescale, it co-varies with the EASM: both exhibit two abrupt climate changes in the middle 1960s and the late 1970s respectively. The possible physical process for the connections between the APNPO and Asian summer monsoon is then explored by analyzing the APNPO-related atmospheric circulations. The results show that with a strong APNPO, the Somali Jet, SASM flow, EASM flow, and South Asian high are all enhanced, and an anomalous anticyclone is produced at the upper level over northeast China via a zonal wave train. Meanwhile, the moisture transportation to the Asian monsoon regions is also strengthened in a strong APNPO year, leading to a strong moisture convergence over India and northern China. All these changes of circulations and moisture conditions finally result in an anomalous Asian summer monsoon and monsoon rainfall over India and northern China. In addition, the APNPO has a good persistence from spring to summer. The spring APNPO is also significantly correlated with Asian summer monsoon variability. The spring APNPO might therefore provide valuable information for the prediction of Asian summer monsoon.</t>
  </si>
  <si>
    <t>[Yuan Wei] China Meteorol Adm Training Ctr, Beijing 100081, Peoples R China; [Sun JianQi] Chinese Acad Sci, Inst Atmospher Phys, Nansen Zhu Int Res Ctr, Beijing 100029, Peoples R China; [Gao YuZhong] Heilongjiang Meteorol Observ, Harbin 150030, Peoples R China</t>
  </si>
  <si>
    <t>Chinese Academy of Sciences; Institute of Atmospheric Physics, CAS</t>
  </si>
  <si>
    <t>Yuan, W (corresponding author), China Meteorol Adm Training Ctr, Beijing 100081, Peoples R China.</t>
  </si>
  <si>
    <t>yuanwei31@gmail.com</t>
  </si>
  <si>
    <t>Sun, Jianqi/A-7084-2016</t>
  </si>
  <si>
    <t>SCIENCE PRESS</t>
  </si>
  <si>
    <t>BEIJING</t>
  </si>
  <si>
    <t>16 DONGHUANGCHENGGEN NORTH ST, BEIJING 100717, PEOPLES R CHINA</t>
  </si>
  <si>
    <t>1006-9313</t>
  </si>
  <si>
    <t>SCI CHINA SER D</t>
  </si>
  <si>
    <t>Sci. China Ser. D-Earth Sci.</t>
  </si>
  <si>
    <t>10.1007/s11430-008-0058-8</t>
  </si>
  <si>
    <t>Geosciences, Multidisciplinary</t>
  </si>
  <si>
    <t>Geology</t>
  </si>
  <si>
    <t>321UQ</t>
  </si>
  <si>
    <t>WOS:000257332400010</t>
  </si>
  <si>
    <t>Yang, XY; Huang, RX; Wang, J; Wang, DX</t>
  </si>
  <si>
    <t>Yang XiaoYi; Huang RuiXin; Wang Jia; Wang DongXiao</t>
  </si>
  <si>
    <t>Delayed baroclinic response of the Antarctic circumpolar current to surface wind stress</t>
  </si>
  <si>
    <t>Antarctic Circumpolar Current; zonal windstress; baroclinic instability; mesoscale eddy</t>
  </si>
  <si>
    <t>HEMISPHERE CLIMATE-CHANGE; SOUTHERN-HEMISPHERE; OCEAN; CIRCULATION; TRANSPORT; STRATIFICATION; VARIABILITY; CHANNEL; EDDIES; MODEL</t>
  </si>
  <si>
    <t>The Antarctic Circumpolar Current (ACC) responds to the surface windstress via two processes, i.e., the instant barotropic process and the delayed baroclinic process. This study focuses on the baroclinic instability mechanism in ACC, which was less reported in the literatures. Results show that the strengthening of surface zonal windstress causes the enhanced tilting of the isopycnal surface, leading to more intense baroclinic instability. Simultaneously, the mesoscale eddies resulting from the baroclinic instability facilitate the transformation of mean potential energy to eddy energy, which causes the remarkable decrease of the ACC volume transport with the 2-year lag time. This delayed negative correlation between the ACC transport and the zonal windstress may account for the steadiness of the ACC transport during last two decades.</t>
  </si>
  <si>
    <t>[Yang XiaoYi; Wang DongXiao] Chinese Acad Sci, LED, S China Sea Inst Oceanol, Guangzhou 510301, Guangdong, Peoples R China; [Huang RuiXin] Woods Hole Oceanog Inst, Woods Hole, MA 02543 USA; [Wang Jia] NOAA, Great Lakes Environm Res Lab, Ann Arbor, MI 48105 USA</t>
  </si>
  <si>
    <t>Chinese Academy of Sciences; South China Sea Institute of Oceanology, CAS; Woods Hole Oceanographic Institution; National Oceanic Atmospheric Admin (NOAA) - USA</t>
  </si>
  <si>
    <t>Wang, DX (corresponding author), Chinese Acad Sci, LED, S China Sea Inst Oceanol, Guangzhou 510301, Guangdong, Peoples R China.</t>
  </si>
  <si>
    <t>dxwang@scsio.ac.cn</t>
  </si>
  <si>
    <t>huang, rui/JYP-3898-2024; WANG, DongXiao/B-4445-2012</t>
  </si>
  <si>
    <t>WANG, DongXiao/0000-0001-8778-2188; Wang, Jia/0000-0003-4154-9721</t>
  </si>
  <si>
    <t>10.1007/s11430-008-0074-8</t>
  </si>
  <si>
    <t>Green Submitted</t>
  </si>
  <si>
    <t>WOS:000257332400013</t>
  </si>
  <si>
    <t>Yam, P</t>
  </si>
  <si>
    <t>Yam, Philip</t>
  </si>
  <si>
    <t>Ozone recovery, warmer Antarctica</t>
  </si>
  <si>
    <t>SCIENTIFIC AMERICAN</t>
  </si>
  <si>
    <t>News Item</t>
  </si>
  <si>
    <t>The ozone hole keeps the Antarctic continent's interior part cold and the ban on global chlorofluorocarbons is causing rapid recovery of the ozone levels. The lower stratosphere region absorbs more ultraviolet light and causes break down of circulation patterns.</t>
  </si>
  <si>
    <t>SCI AMERICAN INC</t>
  </si>
  <si>
    <t>415 MADISON AVE, NEW YORK, NY 10017 USA</t>
  </si>
  <si>
    <t>0036-8733</t>
  </si>
  <si>
    <t>SCI AM</t>
  </si>
  <si>
    <t>Sci.Am.</t>
  </si>
  <si>
    <t>Multidisciplinary Sciences</t>
  </si>
  <si>
    <t>Science &amp; Technology - Other Topics</t>
  </si>
  <si>
    <t>315RG</t>
  </si>
  <si>
    <t>WOS:000256896500011</t>
  </si>
  <si>
    <t>Brown, P</t>
  </si>
  <si>
    <t>Brown, Peter</t>
  </si>
  <si>
    <t>Polar express</t>
  </si>
  <si>
    <t>The climate warming in polar regions is causing breakup of Antarctic ice-shelf collapses. The measurement of temperature near in the western Antarctic Peninsula called the Banana Belt is warming up faster than any place on the earth. Warm air and surface water are melting the summer polar ice cap.</t>
  </si>
  <si>
    <t>+</t>
  </si>
  <si>
    <t>10.1038/scientificamerican0708-18</t>
  </si>
  <si>
    <t>WOS:000256896500015</t>
  </si>
  <si>
    <t>Florindo, F; Harwood, D; Levy, R</t>
  </si>
  <si>
    <t>Florindo, Fabio; Harwood, David; Levy, Richard</t>
  </si>
  <si>
    <t>Sms Project Sci Team</t>
  </si>
  <si>
    <t>ANDRILL's Success During the 4th International Polar Year</t>
  </si>
  <si>
    <t>SCIENTIFIC DRILLING</t>
  </si>
  <si>
    <t>[Florindo, Fabio] Ist Nazl Geofis Vulcanologia, Via Vigna Murata,605, I-00143 Rome, Italy; [Harwood, David; Levy, Richard] Univ Nebraska, Dept Geosci, Lincoln, NE 68588 USA</t>
  </si>
  <si>
    <t>Istituto Nazionale Geofisica e Vulcanologia (INGV); University of Nebraska System; University of Nebraska Lincoln</t>
  </si>
  <si>
    <t>Florindo, F (corresponding author), Ist Nazl Geofis Vulcanologia, Via Vigna Murata,605, I-00143 Rome, Italy.</t>
  </si>
  <si>
    <t>florindo@ingv.it; dharwood1@unl.edu; rlevy2@unl.edu</t>
  </si>
  <si>
    <t>Levy, Richard H/E-2477-2011; Florindo, Fabio/F-4119-2010; Florindo, Fabio/M-1459-2019; Florindo, Fabio/AAU-2548-2021</t>
  </si>
  <si>
    <t>Florindo, Fabio/0000-0002-6058-9748; Florindo, Fabio/0000-0002-6058-9748; Levy, Richard/0000-0002-8783-0167</t>
  </si>
  <si>
    <t>Antarctica New Zealand; Science team at McMurdo Station; Crary Science and Engineering Center; ANDRILL Science Management Office, University of Nebraska-Lincoln; U.S. National Science Foundation; NZ Foundation for Research; Italian Antarctic Research Program; German Science Foundation; Alfred Wegener Institute</t>
  </si>
  <si>
    <t>Antarctica New Zealand; Science team at McMurdo Station; Crary Science and Engineering Center; ANDRILL Science Management Office, University of Nebraska-Lincoln; U.S. National Science Foundation(National Science Foundation (NSF)); NZ Foundation for Research; Italian Antarctic Research Program; German Science Foundation(German Research Foundation (DFG)); Alfred Wegener Institute</t>
  </si>
  <si>
    <t>The ANDRILL project is a multinational collaboration between the Antarctic Programs of Germany, Italy, New Zealand, and the United States. Antarctica New Zealand is the project operator, and developed the drilling system in collaboration with Alex Pyne at Victoria University of Wellington and Webster Drilling and Exploration Ltd. Antarctica New Zealand supported the drilling team at Scott Base, and Raytheon Polar Services supported the Science team at McMurdo Station and the Crary Science and Engineering Center. Scientific support was provided by the ANDRILL Science Management Office, University of Nebraska-Lincoln. Scientific studies are jointly supported by the U.S. National Science Foundation, NZ Foundation for Research, the Italian Antarctic Research Program, the German Science Foundation, and the Alfred Wegener Institute. For more information, please visit the ANDRILL website at http://andrill.org.</t>
  </si>
  <si>
    <t>COPERNICUS GESELLSCHAFT MBH</t>
  </si>
  <si>
    <t>GOTTINGEN</t>
  </si>
  <si>
    <t>BAHNHOFSALLEE 1E, GOTTINGEN, 37081, GERMANY</t>
  </si>
  <si>
    <t>1816-8957</t>
  </si>
  <si>
    <t>1816-3459</t>
  </si>
  <si>
    <t>SCI DRILL</t>
  </si>
  <si>
    <t>Sci. Drill.</t>
  </si>
  <si>
    <t>10.5194/sd-6-29-2008</t>
  </si>
  <si>
    <t>Emerging Sources Citation Index (ESCI)</t>
  </si>
  <si>
    <t>V91BJ</t>
  </si>
  <si>
    <t>Green Submitted, gold</t>
  </si>
  <si>
    <t>WOS:000212901400004</t>
  </si>
  <si>
    <t>Bokhorst, S; Huiskes, A; Convey, P; van Bodegom, PM; Aerts, R</t>
  </si>
  <si>
    <t>Bokhorst, S.; Huiskes, A.; Convey, P.; van Bodegom, P. M.; Aerts, R.</t>
  </si>
  <si>
    <t>Climate change effects on soil arthropod communities from the Falkland Islands and the Maritime Antarctic</t>
  </si>
  <si>
    <t>SOIL BIOLOGY &amp; BIOCHEMISTRY</t>
  </si>
  <si>
    <t>climate manipulation; experimental warming; Open Top Chamber; Collembola; Acari, Antarctic</t>
  </si>
  <si>
    <t>EXPERIMENTAL TEMPERATURE ELEVATION; TERRESTRIAL INVERTEBRATES; VASCULAR PLANTS; ALASKOZETES-ANTARCTICUS; CRYPTOPYGUS-ANTARCTICUS; DECOMPOSITION RATES; ECOSYSTEMS; FIELD; COLLEMBOLA; PENINSULA</t>
  </si>
  <si>
    <t>Over a 2-year study, we investigated the effect of environmental change on the diversity and abundance of soil arthropod communities (Acari and Collembola) in the Maritime Antarctic and the Falkland Islands. Open Top Chambers (OTCs), as used extensively in the framework of the northern boreal International Tundra Experiment (ITEX), were used to increase the temperature in contrasting communities on three islands along a latitudinal temperature gradient, ranging from the Falkland Islands (51 degrees S, mean annual temperature 7.5 degrees C) to Signy Island (60 degrees S, -2.3 degrees C) and Anchorage Island (67 degrees S, -3.8 degrees C). At each island an open and a closed plant community were studied: lichen vs. moss at the Antarctic sites, and grass vs. dwarf shrub at the Falkland Islands. The OTCs raised the soil surface temperature during most months of the year. During the summer the level of warming achieved was 1.7 degrees C at the Falkland Islands, 0.7 degrees C at Signy Island, and 1.1 degrees C at Anchorage Island. The native arthropod community diversity decreased with increasing latitude. In contrast with this pattern, Collembola abundance in the closed vegetation (dwarf shrub or moss) communities increased by at least an order of magnitude from the Falkland Islands (9.0 +/- 2 x 10(3) ind.m(-2)) to Signy (3.3 +/- 8.0 x 10(4) ind.m(-2)) and Anchorage Island (3.1 +/- 0.82 x 10(5) ind. m(-2)). The abundance of Acari did not show a latitudinal trend. Abundance and diversity of Acari and Collembola were unaffected by the warming treatment on the Falkland Islands and Anchorage Island. However, after two seasons of experimental warming, the total abundance of Collembola decreased (p &lt; 0.05) in the lichen community on Signy Island as a result of the population decline of the isotomid Cryptopygus antarcticus. In the same lichen community there was also a decline (p &lt; 0.05) of the mesostigmatid predatory mite Gamasellus racovitzai, and a significant increase in the total number of Prostigmata. Overall, our data suggest that the consequences of an experimental temperature increase of 1-2 degrees C, comparable to the magnitude currently seen through recent climate change in the Antarctic Peninsula region, on soil arthropod communities in this region may not be similar for each location but is most likely to be small and initially slow to develop. (c) 2008 Elsevier Ltd. All rights reserved.</t>
  </si>
  <si>
    <t>[van Bodegom, P. M.; Aerts, R.] Vrije Univ Amsterdam, Inst Ecol Sci, Dept Syst Ecol, NL-1081 HV Amsterdam, Netherlands; [Convey, P.] British Antarctic Survey, NERC, Cambridge CB3 0ET, England; [Bokhorst, S.; Huiskes, A.] Netherlands Inst Ecol, Ctr Estuarine &amp; Marine Ecol, NL-4401 NT Yerseke, Netherlands</t>
  </si>
  <si>
    <t>Vrije Universiteit Amsterdam; UK Research &amp; Innovation (UKRI); Natural Environment Research Council (NERC); NERC British Antarctic Survey; Royal Netherlands Academy of Arts &amp; Sciences; Netherlands Institute of Ecology (NIOO-KNAW)</t>
  </si>
  <si>
    <t>Bokhorst, S (corresponding author), Univ Sheffield, Dept Anim &amp; Plant Sci, Western Bank, Sheffield S10 2TN, S Yorkshire, England.</t>
  </si>
  <si>
    <t>S.bokhorst@sheffield.ac.uk</t>
  </si>
  <si>
    <t>Bokhorst, Stef/D-1858-2009; Huiskes, Ad/C-3252-2011; Convey, Peter/AAV-5728-2020; van Bodegom, Peter/N-8150-2015</t>
  </si>
  <si>
    <t>Convey, Peter/0000-0001-8497-9903; Aerts, Rien/0000-0001-6694-0669; van Bodegom, Peter/0000-0003-0771-4500; Bokhorst, Stef/0000-0003-0184-1162</t>
  </si>
  <si>
    <t>0038-0717</t>
  </si>
  <si>
    <t>SOIL BIOL BIOCHEM</t>
  </si>
  <si>
    <t>Soil Biol. Biochem.</t>
  </si>
  <si>
    <t>10.1016/j.soilbio.2008.01.017</t>
  </si>
  <si>
    <t>Soil Science</t>
  </si>
  <si>
    <t>Agriculture</t>
  </si>
  <si>
    <t>325VI</t>
  </si>
  <si>
    <t>WOS:000257616100001</t>
  </si>
  <si>
    <t>Tseng, LC; Kumar, R; Dahms, HU; Chen, QC; Hwang, JS</t>
  </si>
  <si>
    <t>Tseng, Li-Chun; Kumar, Ram; Dahms, Hans-Uwe; Chen, Qing-Chao; Hwang, Jiang-Shiou</t>
  </si>
  <si>
    <t>Copepod gut contents, ingestion rates, and feeding impacts in relation to their size structure in the southeastern Taiwan Strait</t>
  </si>
  <si>
    <t>ZOOLOGICAL STUDIES</t>
  </si>
  <si>
    <t>Taiwan Strait; copepod; gut contents; feeding; trophic ecology</t>
  </si>
  <si>
    <t>SOUTHERN CALIFORNIA BIGHT; SUB-ANTARCTIC COPEPODS; PELAGIC FOOD-WEB; GRAZING IMPACT; COASTAL WATERS; TEMORA-LONGICORNIS; SEASONAL-VARIATION; CALANOID COPEPODS; TAXONOMIC COMPOSITION; VERTICAL MIGRATION</t>
  </si>
  <si>
    <t>[Tseng, Li-Chun; Dahms, Hans-Uwe; Hwang, Jiang-Shiou] Natl Taiwan Ocean Univ, Inst Marine Biol, Chilung 202, Taiwan; [Kumar, Ram] Univ Delhi, Acharya Narendra Dev Coll, Dept Zool, Delhi 10007, India; [Chen, Qing-Chao] Chinese Acad Sci, S China Sea Inst Oceanol, Guangzhou 510301, Guangdong, Peoples R China</t>
  </si>
  <si>
    <t>National Taiwan Ocean University; University of Delhi; Chinese Academy of Sciences; South China Sea Institute of Oceanology, CAS</t>
  </si>
  <si>
    <t>Hwang, JS (corresponding author), Natl Taiwan Ocean Univ, Inst Marine Biol, Chilung 202, Taiwan.</t>
  </si>
  <si>
    <t>Jshwang@mail.ntou.edu.tw</t>
  </si>
  <si>
    <t>chen, qy/JXM-3217-2024; CHEN, QING/IXN-5937-2023</t>
  </si>
  <si>
    <t>CHEN, QING/0000-0001-5250-1710; Tseng, Li-Chun/0000-0003-0251-565X</t>
  </si>
  <si>
    <t>National Science Council, Taiwan [NSC86-2611-M-019-009-0, NSC94-2611-M-019-010, NSC95-2621-B-019-005, NSC95-2611-M019-003]</t>
  </si>
  <si>
    <t>National Science Council, Taiwan(Ministry of Science and Technology, Taiwan)</t>
  </si>
  <si>
    <t>The authors would like to thank the captain, crew, and technicians of the Ocean Research Vessel III for their assistance on cruise 455, and S.C. Wong and C.Z. Chen for their help with zooplankton sampling and identification of copepods. We appreciate Dr. C.T. Shih's help in revising the manuscript and providing suggestions for writing, and thanks go to C.H. Wu for bibliographic assistance. This research was supported by grants (NSC86-2611-M-019-009-0, NSC94-2611-M-019-010, NSC95-2621-B-019-005, NSC95-2611-M019-003) from the National Science Council, Taiwan to J.S. Hwang.</t>
  </si>
  <si>
    <t>BIODIVERSITY RESEARCH CENTER, ACAD SINICA</t>
  </si>
  <si>
    <t>TAIPEI</t>
  </si>
  <si>
    <t>128 ACADEMIA RODA, SECTION 2, NANKANG, TAIPEI, 11529, TAIWAN</t>
  </si>
  <si>
    <t>1021-5506</t>
  </si>
  <si>
    <t>1810-522X</t>
  </si>
  <si>
    <t>ZOOL STUD</t>
  </si>
  <si>
    <t>Zool. Stud.</t>
  </si>
  <si>
    <t>Zoology</t>
  </si>
  <si>
    <t>338AQ</t>
  </si>
  <si>
    <t>WOS:000258477600003</t>
  </si>
  <si>
    <t>Scarpa, R; Malumián, N</t>
  </si>
  <si>
    <t>Scarpa, Romina; Malumian, Norberto</t>
  </si>
  <si>
    <t>Early Oligocene Foraminifera from the Fuegian Andes:: Their tectonic and paleoenvironmental meaning</t>
  </si>
  <si>
    <t>AMEGHINIANA</t>
  </si>
  <si>
    <t>Spanish</t>
  </si>
  <si>
    <t>foraminifera; early Oligocene; foredeep; Fuegian Andes</t>
  </si>
  <si>
    <t>DRILLING PROJECT LEG-71; TIERRA-DEL-FUEGO; ARGENTINE BASIN; PLANKTONIC FORAMINIFERS; FALKLAND PLATEAU; SEA; CHILOGUEMBELINA; OCEAN</t>
  </si>
  <si>
    <t>Two early Oligocene assemblages of calcareous foraminifera from the Estancia Maria Cristina Beds, critical in the chronology and paleoecological events of the Fuegian Andes, are described. These assemblages indicate the environmental setting and the early Oligocene age of the beginning of the deepest foredeep in the Upper Cretaceous-Miocene of the Fuegian Andes and mark out the age of the Fuegian fold-thrust belt. These Beds were deposited mostly below the compensation calcite depth and bear mainly agglutinated foraminifera that testify the incursion of corrosive Antarctic waters. From restricted levels that have escaped to dissolution inland and near to the Farm, one of the assemblage was recovered, it is composed of abundant planktonic foraminifera typical of high latitude dominated by Subbotina angiporoides and Catapsydrax dissimilis, which together with Chiloguembelina cubensis and the nannofossil Isthmolithus recurvus, indicate an age between 30 and 34 Ma (lower part: of the Zone of Subbotina angiporoides, or Antarctic Zone AP13); the co-occurring benthic foraminifera are dominated by Uvigerina subproboscidea. Another calcareous assemblage was recovered from an horizon of a section on the Atlantic coast, near Cerro Colorado; which is composed of a similar planktonic assemblage and an outer shelf benthic calcareous association strongly dominated by Globocassidulina Pseudocrassa and with abundant U. subproboscidea and Stilostomella spp. It is remarkable that at least in the mid-high latitudes of the Southern Hemisphere, Chiloguembelina cubensis and Chiloguembelina ototara are morphologically and chronologically differentiable species, the former one restricted to the Oligocene and the latter one mostly to the upper Eocene.</t>
  </si>
  <si>
    <t>[Malumian, Norberto] SEGEMAR CONICET, Buenos Aires, DF, Argentina</t>
  </si>
  <si>
    <t>Consejo Nacional de Investigaciones Cientificas y Tecnicas (CONICET)</t>
  </si>
  <si>
    <t>r_scarpa22272@yahoo.com.ar; n.malumian@yahoo.com</t>
  </si>
  <si>
    <t>Agencia Nacional de Promocion Cientifica y Tecnologica [PICT 12257]; dentro del Proyecto Cenozoico de la Patagonia y Plataforma Continental; cargo de N. Malumian [PIP-Conicet 5100]; Ministerio de Educacion y Ciencia de Espana [CGL2007-63724/BTE]</t>
  </si>
  <si>
    <t>Agencia Nacional de Promocion Cientifica y Tecnologica(ANPCyTSpanish Government); dentro del Proyecto Cenozoico de la Patagonia y Plataforma Continental; cargo de N. Malumian; Ministerio de Educacion y Ciencia de Espana(Spanish Government)</t>
  </si>
  <si>
    <t>La totalidad de los muestreos y confeccion de perfiles fueron realizados con la inestimable colaboracion de E.O. Olivero, gran parte tambien con la ayuda de Carolina Nanez. El presente trabajo ha sido financiado en gran parte por el PICT 12257 de la Agencia Nacional de Promocion Cientifica y Tecnologica, dentro del Proyecto Cenozoico de la Patagonia y Plataforma Continental, a cargo de N. Malumian, per el PIP-Conicet 5100 a cargo de E.O. Olivero y per el Proyecto Consolidar CGL2007-63724/BTE del Ministerio de Educacion y Ciencia de Espana.</t>
  </si>
  <si>
    <t>ASOCIACION PALEONTOLOGICA ARGENTINA</t>
  </si>
  <si>
    <t>BUENOS AIRES</t>
  </si>
  <si>
    <t>MAIPU 645, 1ER PISO, 1006 BUENOS AIRES, ARGENTINA</t>
  </si>
  <si>
    <t>0002-7014</t>
  </si>
  <si>
    <t>Ameghiniana</t>
  </si>
  <si>
    <t>JUN 30</t>
  </si>
  <si>
    <t>Paleontology</t>
  </si>
  <si>
    <t>347WV</t>
  </si>
  <si>
    <t>WOS:000259173000009</t>
  </si>
  <si>
    <t>Murelaga, X; Pérez-Rivarés, FJ; Vázquez-Urbez, M; Zuluaga, C</t>
  </si>
  <si>
    <t>Murelaga, Xabier; Javier Perez-Rivares, Francisco; Vazquez-Urbez, Marta; Zuluaga, Cruz</t>
  </si>
  <si>
    <t>New biostratigraphic and paleoecologic data from the middle Miocene (Aragonian) from the Tarazona de Aragon area (Ebro basin) Zaragoza Province, Spain.</t>
  </si>
  <si>
    <t>Miocene; Aragonian; Ebro basin; bioestratigraphy; paleoecology; paleoclimatology</t>
  </si>
  <si>
    <t>ANTARCTIC ICE-SHEET; PALEOCLIMATIC INTERPRETATION; CLAY-MINERALS; EUROPE; OCEAN</t>
  </si>
  <si>
    <t>In this contribution the vertebrate microfossils of two new localities (Melero-20 and Melero-30) near Tarazona de Aragon village (Ebro Basin, Spain) are described. The fossil association is dominated by micromammal fossils, represented by Rodents (Sciurids, Cricetids and Glirids), Lagomorphs and Chiropters, and allows to situate Melero-20 in the local biozone E (European Mammal Neogene Zone, MN5) and Melero-30 between the local biozones F and G1 (MN6), both in the Miocene. The revision of the Tarazona de Aragon and El Buste mammal localities, at the bottom and from the bottom of the local succession, gives the following new biostratigraphic assignation: Dc-Dd (MN5) and G2 (MN6), respectively. The described remains were accumulated in ponds or shallow lakes colonized by plants, with common desiccation and pedogenetic processes. The evolution of rodent association through the local succession indicates a relative climate cooling. The vertebrate diversity decreases from base to top, which may be related to a temperature decrease through time. A similar temperature and diversity decrease has been rep cognised in the Calatayud-Teruel Basin (NE of Spain) during the same time interval. This decrease could be associated with the cooling that follow's the Mid-Miocene Climatic Optimum. Even though the rodent association does not reveal changes in relative humidity, clay mineralogical analyses suggest an and environment for the Tarazona de Aragon level, the older in the succession, a humidity increase for Melero-20 and a decrease for Melero-30.</t>
  </si>
  <si>
    <t>[Murelaga, Xabier] Univ Pais Vasco EHU, Fac Ciencias &amp; Tecnol, Dept Estratigrafia &amp; Paleontol, E-48080 Bilbao, Spain; [Javier Perez-Rivares, Francisco; Vazquez-Urbez, Marta] Univ Zaragoza, Fac Ciencias, Dept Ciencias Tierra, Area Estratigrafia, E-50009 Zaragoza, Spain; [Zuluaga, Cruz] Univ Pais Vasco EHU, Fac Ciencias &amp; Tecnol, Dept Mineral &amp; Petrol, E-48080 Bilbao, Spain</t>
  </si>
  <si>
    <t>University of Basque Country; University of Zaragoza; University of Basque Country</t>
  </si>
  <si>
    <t>Murelaga, X (corresponding author), Univ Pais Vasco EHU, Fac Ciencias &amp; Tecnol, Dept Estratigrafia &amp; Paleontol, Apartado 644, E-48080 Bilbao, Spain.</t>
  </si>
  <si>
    <t>xabier.murelaga@ehu.es</t>
  </si>
  <si>
    <t>Murelaga, Xabier/O-2262-2019</t>
  </si>
  <si>
    <t>Murelaga, Xabier/0000-0001-8049-4917; ZULUAGA IBARGALLARTU, MARIA CRUZ/0000-0003-1290-4093</t>
  </si>
  <si>
    <t>Museo de Ciencias Naturales de Madrid. Los trabajos fueron [BTE2003-07252, CGL2004-00780]; Ministerio de Educacion y Ciencia [9/upv00121.310-15303/2003]</t>
  </si>
  <si>
    <t>Museo de Ciencias Naturales de Madrid. Los trabajos fueron; Ministerio de Educacion y Ciencia(Spanish Government)</t>
  </si>
  <si>
    <t>En la obtencion y preparacion del material fosil, asi como en la realizacion del presente estudio se ha contado con la inestimable ayuda de las siguientes personas e instituciones: M. de la Fuente del Museo de Historia Natural de San Rafael, G. Pardo y C. Arenas de la Universidad de Zaragoza, J.C. Larrasoana del Instituto Jaume Almera de Barcelona, M. Garces de la Universidad de Barcelona y H. Astibia de la Universidad del Pais Vasco/EHU; D.S. Garcia del Aula Paleontologica de Cenicero y D. Eneko Goikoetxea. Los antores agradecen las sugerencias realizadas al texto por C. Sese del Museo de Ciencias Naturales de Madrid. Los trabajos fueron financiados por los proyectos BTE2003-07252 y CGL2004-00780 del Ministerio de Educacion y Ciencia, 9/upv00121.310-15303/2003 (Ayuda a grupos consolidados) de la Universidad del Pais Vasco/EHU y Grupo de Analisis de Cuencas Sedimentarias Continentales (Grupos consolidados de investigacion del Gobierno de Aragon). Los analisis de arcillas se realizaron en el Servicio General de Investigacion Rayos X: Unidad de Rocas y Minerales de la UPV/EHU con la participacion del Ministerio de Ciencia y Tecnologia y del Fondo Social Europeo. M. Vazquez Urbez ha disfrutado, durante la realizaci6n de este trabajo, de una beca predoctoral de la Diputacion General de Aragon.</t>
  </si>
  <si>
    <t>WOS:000259173000011</t>
  </si>
  <si>
    <t>Welten, KC; Folco, L; Nishiizumi, K; Caffee, MW; Grimberg, A; Meier, MMM; Kober, F</t>
  </si>
  <si>
    <t>Welten, K. C.; Folco, L.; Nishiizumi, K.; Caffee, M. W.; Grimberg, A.; Meier, M. M. M.; Kober, F.</t>
  </si>
  <si>
    <t>Meteoritic and bedrock constraints on the glacial history of Frontier Mountain in northern Victoria Land, Antarctica</t>
  </si>
  <si>
    <t>EARTH AND PLANETARY SCIENCE LETTERS</t>
  </si>
  <si>
    <t>cosmogenic nuclicle; Antarctic meteorites; terrestrial age; Frontier Mountain; surface exposure age; Cenozoic glacial history</t>
  </si>
  <si>
    <t>TERRESTRIAL AGES; EXPOSURE HISTORY; AMS STANDARDS; TRANSANTARCTIC MOUNTAINS; PRODUCTION-RATES; SIERRA-NEVADA; H-CHONDRITES; BE-10; NE-21; EROSION</t>
  </si>
  <si>
    <t>In 2001, a small H4 chondrite, Frontier Mountain (FRO) 01149, was found on a glacially eroded surface near the top of Frontier Mountain, Antarctica, about 600 m above the present ice level. The metal and sulphides are almost completely oxidized due to terrestrial weathering. We used a chemical leaching procedure to remove weathering products, which contained atmospheric Be-10 and Cl-36 in a ratio similar to that found in Antarctic ice. The FRO 01149 meteorite has a terrestrial age of 3.0 +/- 0.3 Myr based on the concentrations of the cosmogenic radionuclides Be-10, Al-26 and Cl-36. This age implies that FRO 01149 is the oldest stony meteorite (fossil meteorites excluded) discovered on Earth. The noble gas cosmic ray exposure age of FRO 01149 is similar to 30 Myr. The meteorite thus belongs to the 33 Myr exposure age peak of H-chondrites. The bedrock surface on which FRO 01149 was found has wet-based glacial erosional features recording a former high-stand of the East Antarctic ice sheet. This ice sheet evidently overrode the highest peaks (&gt; 2800 m a.s.l.) of the inland sector of the Transantarctic Mountains in northern Victoria Land. We argue that FRO 01149 was a local fall and that its survival on a glacially eroded bedrock surface constrains the age of the last overriding event to be older than similar to 3 Myr. The concentrations of in-situ produced cosmogenic Be-10, Al-26 and Ne-21 in a glacially eroded bedrock sample taken from near the summit of Frontier Mountain yield a surface exposure age of 4.4 Myr and indicate that the bedrock was covered by several meters of snow. The exposure age is also consistent with bedrock exposure ages of other summit plateaus in northern Victoria Land. (c) 2008 Elsevier B.V. All rights reserved.</t>
  </si>
  <si>
    <t>[Welten, K. C.; Nishiizumi, K.] Univ Calif Berkeley, Space Sci Lab, Berkeley, CA 94720 USA; [Folco, L.] Univ Siena, Museo Nazl Antartide, I-53100 Siena, Italy; [Caffee, M. W.] Purdue Univ, PRIME Lob, W Lafayette, IN 47907 USA; [Grimberg, A.; Meier, M. M. M.; Kober, F.] ETH, CH-8092 Zurich, Switzerland; [Grimberg, A.] Univ Bern, Inst Phys, CH-3012 Bern, Switzerland</t>
  </si>
  <si>
    <t>University of California System; University of California Berkeley; University of Siena; Purdue University System; Purdue University; Swiss Federal Institutes of Technology Domain; ETH Zurich; University of Bern</t>
  </si>
  <si>
    <t>Welten, KC (corresponding author), Univ Calif Berkeley, Space Sci Lab, Berkeley, CA 94720 USA.</t>
  </si>
  <si>
    <t>Folco, Luigi/AAB-8586-2021; Folco, Luigi/AAA-6351-2020</t>
  </si>
  <si>
    <t>Folco, Luigi/0000-0002-7276-3483; Welten, Kees/0000-0001-8577-6753; Meier, Matthias/0000-0002-7179-4173</t>
  </si>
  <si>
    <t>ELSEVIER SCIENCE BV</t>
  </si>
  <si>
    <t>AMSTERDAM</t>
  </si>
  <si>
    <t>PO BOX 211, 1000 AE AMSTERDAM, NETHERLANDS</t>
  </si>
  <si>
    <t>0012-821X</t>
  </si>
  <si>
    <t>EARTH PLANET SC LETT</t>
  </si>
  <si>
    <t>Earth Planet. Sci. Lett.</t>
  </si>
  <si>
    <t>3-4</t>
  </si>
  <si>
    <t>10.1016/j.epsl.2008.03.052</t>
  </si>
  <si>
    <t>327EV</t>
  </si>
  <si>
    <t>WOS:000257713300016</t>
  </si>
  <si>
    <t>Koenitz, D; White, N; McCave, IN; Hobbs, R</t>
  </si>
  <si>
    <t>Koenitz, Dorit; White, Nicky; McCave, I. Nick; Hobbs, Richard</t>
  </si>
  <si>
    <t>Internal structure of a contourite drift generated by the Antarctic Circumpolar Current</t>
  </si>
  <si>
    <t>GEOCHEMISTRY GEOPHYSICS GEOSYSTEMS</t>
  </si>
  <si>
    <t>contourite drift</t>
  </si>
  <si>
    <t>SOUTH-ATLANTIC-OCEAN; DEEP PACIFIC INFLOW; MIDDLE MIOCENE; DRAKE PASSAGE; SCOTIA SEA; TECTONIC EVOLUTION; FALKLAND TROUGH; AGULHAS PLATEAU; SEDIMENT DRIFTS; ARGENTINE BASIN</t>
  </si>
  <si>
    <t>We describe the internal structure and stratigraphy of a well-imaged contourite drift from the Southern Ocean. This drift, which we have named the South Falkland Slope Drift, lies on the northern flank of the Falkland Trough due south of the Falkland Islands. Drifts which occur directly in the path of the Antarctic Circumpolar Current (ACC), downstream of the Drake Passage gateway, are of considerable paleoceanographic significance since their detailed stratigraphic record will help to constrain the history of the ACC. We have reprocessed a grid of seismic reflection profiles generously provided by WesternGeco Ltd. in order to enhance imaging of the South Falkland Slope Drift and of drift deposits within the trough. The resultant high-quality images enable us to map the internal architecture of these drifts in unprecedented detail. By combining seismic stratigraphic mapping with measured sedimentation rates from nearby boreholes, we have inferred ages of the principal mappable horizons. With minor adjustments to sedimentation rates through time, we can show that these ages correspond to significant Southern Ocean events. We propose that the South Falkland Slope Drift initiated at 24.5-20.5 Ma, in accordance with some, but not all, published estimates of ACC establishment. A highly reflective horizon with an estimated age of 14.5 Ma corresponds to growth of the East Antarctic Ice Sheet, which led to a period of significant global cooling. A similarly bright reflective horizon with an estimated age of 9 Ma is thought to be related to a reorganization of bottom current flow which just predated establishment of grounded ice sheets on the Antarctic Peninsular shelf. Finally, a prominent early Pliocene unconformity at 4.5 Ma may be linked with the onset of major Northern Hemisphere glaciation or with Antarctic ice sheet expansion. We conclude that this well-imaged drift is an important, and largely continuous, stratigraphic record of ACC activity and suggest that it would be an excellent drilling target.</t>
  </si>
  <si>
    <t>[Koenitz, Dorit; White, Nicky; McCave, I. Nick; Hobbs, Richard] Univ Cambridge, Dept Earth Sci, Bullard Labs, Cambridge CB3 0EZ, England; [Hobbs, Richard] Univ Durham, Dept Earth Sci, Durham DH1 3LE, England</t>
  </si>
  <si>
    <t>University of Cambridge; Durham University</t>
  </si>
  <si>
    <t>Koenitz, D (corresponding author), PGS Geophys AS, Standveien 4,POB 290, N-1326 Lysaker, Norway.</t>
  </si>
  <si>
    <t>nwhite@esc.cam.ac.uk</t>
  </si>
  <si>
    <t>McCave, I. Nick/O-3992-2018; Hobbs, Richard/F-1054-2013</t>
  </si>
  <si>
    <t>McCave, I. Nick/0000-0002-4702-5489; White, Nicky/0000-0002-4460-299X; Hobbs, Richard/0000-0001-5131-9239</t>
  </si>
  <si>
    <t>AMER GEOPHYSICAL UNION</t>
  </si>
  <si>
    <t>WASHINGTON</t>
  </si>
  <si>
    <t>2000 FLORIDA AVE NW, WASHINGTON, DC 20009 USA</t>
  </si>
  <si>
    <t>1525-2027</t>
  </si>
  <si>
    <t>GEOCHEM GEOPHY GEOSY</t>
  </si>
  <si>
    <t>Geochem. Geophys. Geosyst.</t>
  </si>
  <si>
    <t>JUN 28</t>
  </si>
  <si>
    <t>Q06012</t>
  </si>
  <si>
    <t>10.1029/2007GC001799</t>
  </si>
  <si>
    <t>321LZ</t>
  </si>
  <si>
    <t>Bronze</t>
  </si>
  <si>
    <t>WOS:000257307900001</t>
  </si>
  <si>
    <t>Rignot, E</t>
  </si>
  <si>
    <t>Rignot, Eric</t>
  </si>
  <si>
    <t>Changes in West Antarctic ice stream dynamics observed with ALOS PALSAR data</t>
  </si>
  <si>
    <t>GEOPHYSICAL RESEARCH LETTERS</t>
  </si>
  <si>
    <t>PINE ISLAND GLACIER; RADAR INTERFEROMETRY; SOUTHERN-OCEAN; MASS-BALANCE; GREENLAND; SHEET; PENETRATION; ACCELERATION; VELOCITY; SHELF</t>
  </si>
  <si>
    <t>The Advanced Land Observation System (ALOS) Phased-Array Synthetic-Aperture Radar (PALSAR) is an L-band frequency (1.27 GHz) radar capable of continental-scale interferometric observations of ice sheet motion. Here, we show that PALSAR data yield excellent measurements of ice motion compared to C-band (5.6 GHz) radar data because of greater temporal coherence over snow and firn. We compare PALSAR velocities from year 2006 in Pine Island Bay, West Antarctica with those spanning years 1974 to 2007. Between 1996 and 2007, Pine Island Glacier sped up 42% and ungrounded over most of its ice plain. Smith Glacier accelerated 83% and ungrounded as well. Their largest speed up are recorded in 2007. Thwaites Glacier is not accelerating but widening with time and its eastern ice shelf doubled its speed. Total ice discharge from these glaciers increased 30% in 12 yr and the net mass loss increased 170% from 39 +/- 15 Gt/yr to 105 +/- 27 Gt/yr. Longer-term velocity changes suggest only a moderate loss in the 1970s. As the glaciers unground into the deeper, smoother beds inland, the mass loss from this region will grow considerably larger in years to come.</t>
  </si>
  <si>
    <t>[Rignot, Eric] Univ Calif Irvine, Irvine, CA 92697 USA; [Rignot, Eric] CALTECH, Jet Prop Lab, Pasadena, CA USA</t>
  </si>
  <si>
    <t>University of California System; University of California Irvine; California Institute of Technology; National Aeronautics &amp; Space Administration (NASA); NASA Jet Propulsion Laboratory (JPL)</t>
  </si>
  <si>
    <t>Rignot, E (corresponding author), Univ Calif Irvine, Irvine, CA 92697 USA.</t>
  </si>
  <si>
    <t>erignot@uci.edu</t>
  </si>
  <si>
    <t>Rignot, Eric/A-4560-2014</t>
  </si>
  <si>
    <t>Rignot, Eric/0000-0002-3366-0481</t>
  </si>
  <si>
    <t>0094-8276</t>
  </si>
  <si>
    <t>1944-8007</t>
  </si>
  <si>
    <t>GEOPHYS RES LETT</t>
  </si>
  <si>
    <t>Geophys. Res. Lett.</t>
  </si>
  <si>
    <t>L12505</t>
  </si>
  <si>
    <t>10.1029/2008GL033365</t>
  </si>
  <si>
    <t>321ML</t>
  </si>
  <si>
    <t>Green Published</t>
  </si>
  <si>
    <t>WOS:000257309200001</t>
  </si>
  <si>
    <t>Nam, J; Gorham, PW; Barwick, SW; Beatty, JJ; Besson, DZ; Binns, WR; Chen, C; Chen, P; Clem, JM; Connolly, A; Dowkontt, PF; DuVernois, MA; Field, RC; Goldstein, DJ; Goodhue, A; Hast, C; Hebert, CL; Hoover, S; Israel, MH; Javaid, A; Kowalski, J; Learned, JG; Liewer, KM; Link, JT; Lusczek, E; Matsuno, S; Mercurio, BC; Miki, C; Miocinovic, P; Naudet, CJ; Ng, J; Nichol, RJ; Palladino, KJ; Reil, K; Romero-Wolf, A; Rosen, M; Saltzberg, D; Seckel, D; Varner, GS; Walz, D; Wu, F</t>
  </si>
  <si>
    <t>Nam, Jiwoo; Gorham, P. W.; Barwick, S. W.; Beatty, J. J.; Besson, D. Z.; Binns, W. R.; Chen, C.; Chen, P.; Clem, J. M.; Connolly, A.; Dowkontt, P. F.; DuVernois, M. A.; Field, R. C.; Goldstein, D. J.; Goodhue, A.; Hast, C.; Hebert, C. L.; Hoover, S.; Israel, M. H.; Javaid, A.; Kowalski, J.; Learned, J. G.; Liewer, K. M.; Link, J. T.; Lusczek, E.; Matsuno, S.; Mercurio, B. C.; Miki, C.; Miocinovic, P.; Naudet, C. J.; Ng, J.; Nichol, R. J.; Palladino, K. J.; Reil, K.; Romero-Wolf, A.; Rosen, M.; Saltzberg, D.; Seckel, D.; Varner, G. S.; Walz, D.; Wu, F.</t>
  </si>
  <si>
    <t>ANITA Collaboration</t>
  </si>
  <si>
    <t>Preliminary result from ANITA experiment</t>
  </si>
  <si>
    <t>MODERN PHYSICS LETTERS A</t>
  </si>
  <si>
    <t>Article; Proceedings Paper</t>
  </si>
  <si>
    <t>International Symposium on Cosmology and Particle Astrophysics</t>
  </si>
  <si>
    <t>NOV 13-15, 2007</t>
  </si>
  <si>
    <t>Taipei, TAIWAN</t>
  </si>
  <si>
    <t>UHE neutrino; GZK process; Askaryan effect</t>
  </si>
  <si>
    <t>COHERENT; EMISSION; CHARGE</t>
  </si>
  <si>
    <t>The ANITA (ANtarctic Impulsive Transient Antenna) experiment is a balloon-borne neutrino telescope which consists of an array of 32 broad-band horn antennas. It successfully completed a 35 day flight over Antarctica during the 2006-2007 austral summer. The primary goal of ANITA is to search for astrophysical neutrinos with energies E &gt; 10(19)eV by detecting radio Cherenkov signals from neutrino induced showers in the Antarctic ice. We present preliminary results from ongoing analyses of ANITA data.</t>
  </si>
  <si>
    <t>[Nam, Jiwoo] Natl Taiwan Univ, Dept Phys, Taipei 106, Taiwan; [Nam, Jiwoo] Natl Taiwan Univ, Inst Astrophys, Taipei 106, Taiwan; [Nam, Jiwoo] Natl Taiwan Univ, Leung Ctr Cosmol &amp; Particle Astrophys, Taipei 106, Taiwan; [Gorham, P. W.; Connolly, A.; Hebert, C. L.; Kowalski, J.; Learned, J. G.; Link, J. T.; Matsuno, S.; Miki, C.; Miocinovic, P.; Romero-Wolf, A.; Rosen, M.; Varner, G. S.] Univ Hawaii Manoa, Dept Phys &amp; Astron, Honolulu, HI 96822 USA; [Liewer, K. M.; Naudet, C. J.] CALTECH, Jet Prop Lab, Pasadena, CA 91109 USA; [Beatty, J. J.; Mercurio, B. C.; Palladino, K. J.] Ohio State Univ, Dept Phys, Columbus, OH 43210 USA; [Chen, P.; Field, R. C.; Hast, C.; Ng, J.; Reil, K.] Stanford Linear Accelerator Ctr, Menlo Pk, CA 94025 USA; [Barwick, S. W.; Goldstein, D. J.; Wu, F.] Univ Calif Irvine, Dept Phys &amp; Astron, Irvine, CA USA; [Connolly, A.; Goodhue, A.; Hoover, S.; Saltzberg, D.] Univ Calif Los Angeles, Dept Phys &amp; Astron, Los Angeles, CA 90095 USA; [Connolly, A.; Nichol, R. J.] UCL, Dept Phys &amp; Astron, London WC1E 6BT, England; [Clem, J. M.; Javaid, A.; Seckel, D.] Univ Delaware, Dept Phys &amp; Astron, Newark, DE 19716 USA; [Besson, D. Z.] Univ Kansas, Dept Phys &amp; Astron, Lawrence, KS 66045 USA; [DuVernois, M. A.; Lusczek, E.] Univ Minnesota, Dept Phys, Minneapolis, MN 55455 USA; [Binns, W. R.; Dowkontt, P. F.; Israel, M. H.] Washington Univ, Dept Phys, St Louis, MO 63130 USA; [Chen, C.; Chen, P.] Natl Taiwan Univ, Dept Phys, Taipei 106, Taiwan</t>
  </si>
  <si>
    <t>National Taiwan University; National Taiwan University; National Taiwan University; University of Hawaii System; University of Hawaii Manoa; California Institute of Technology; National Aeronautics &amp; Space Administration (NASA); NASA Jet Propulsion Laboratory (JPL); University System of Ohio; Ohio State University; Stanford University; United States Department of Energy (DOE); SLAC National Accelerator Laboratory; University of California System; University of California Irvine; University of California System; University of California Los Angeles; University of London; University College London; University of Delaware; University of Kansas; University of Minnesota System; University of Minnesota Twin Cities; Washington University (WUSTL); National Taiwan University</t>
  </si>
  <si>
    <t>Nam, J (corresponding author), Natl Taiwan Univ, Dept Phys, Taipei 106, Taiwan.</t>
  </si>
  <si>
    <t>jwnam@phys.ntu.edu.tw</t>
  </si>
  <si>
    <t>Chen, Pisin/IAO-8769-2023; Beatty, James/D-9310-2011; Vieregg, Abigail/D-2287-2012; Nichol, Ryan/C-1645-2008</t>
  </si>
  <si>
    <t>Chen, Pisin/0000-0001-5251-7210; Beatty, James/0000-0003-0481-4952; Nichol, Ryan/0000-0003-0557-0443; Goldstein, David/0000-0003-3654-8142; Lusczek, Elizabeth/0000-0003-4680-965X; Gorham, Peter/0000-0002-0923-9363</t>
  </si>
  <si>
    <t>WORLD SCIENTIFIC PUBL CO PTE LTD</t>
  </si>
  <si>
    <t>SINGAPORE</t>
  </si>
  <si>
    <t>5 TOH TUCK LINK, SINGAPORE 596224, SINGAPORE</t>
  </si>
  <si>
    <t>0217-7323</t>
  </si>
  <si>
    <t>1793-6632</t>
  </si>
  <si>
    <t>MOD PHYS LETT A</t>
  </si>
  <si>
    <t>Mod. Phys. Lett. A</t>
  </si>
  <si>
    <t>17-20</t>
  </si>
  <si>
    <t>10.1142/S0217732308027795</t>
  </si>
  <si>
    <t>Astronomy &amp; Astrophysics; Physics, Nuclear; Physics, Particles &amp; Fields; Physics, Mathematical</t>
  </si>
  <si>
    <t>Astronomy &amp; Astrophysics; Physics</t>
  </si>
  <si>
    <t>335NK</t>
  </si>
  <si>
    <t>WOS:000258297100028</t>
  </si>
  <si>
    <t>Charbit, S; Paillard, D; Ramstein, G</t>
  </si>
  <si>
    <t>Charbit, S.; Paillard, D.; Ramstein, G.</t>
  </si>
  <si>
    <t>Amount of CO2 emissions irreversibly leading to the total melting of Greenland</t>
  </si>
  <si>
    <t>ANTARCTIC ICE-SHEET; CLIMATE; DEGLACIATION</t>
  </si>
  <si>
    <t>[1] The long-term response of Greenland to anthropogenic warming is of critical interest for the magnitude of the sea-level rise and for climate-related concerns. To explore its evolution over several millennia we use a climate-ice sheet model forced by a range of CO2 emission scenarios, accounting for the natural removal of anthropogenic CO2 from the atmosphere. Above 3000 GtC, the melting appears irreversible, while below 2500 GtC, Greenland only experiences a partial melting followed by a re-growth phase. Delaying emissions through sequestration slows significantly the melting, but has only a limited impact on the ultimate fate of Greenland. Its behavior is therefore mostly dependent on the cumulative CO2 emissions. This study demonstrates that the fossil fuel emissions of the next century will have dramatic consequences on sea-level rise for several millennia.</t>
  </si>
  <si>
    <t>[Charbit, S.; Paillard, D.; Ramstein, G.] CEA, CNRS, Lab Sci Climat &amp; Environment, IPSL,UVSQ,UMR 1572, F-91191 Gif Sur Yvette, France</t>
  </si>
  <si>
    <t>Universite Paris Cite; Universite Paris Saclay; CEA; Centre National de la Recherche Scientifique (CNRS)</t>
  </si>
  <si>
    <t>Charbit, S (corresponding author), CEA, CNRS, Lab Sci Climat &amp; Environment, IPSL,UVSQ,UMR 1572, F-91191 Gif Sur Yvette, France.</t>
  </si>
  <si>
    <t>sylvie.charbit@lsce.ipsl.fr</t>
  </si>
  <si>
    <t>Charbit, Sylvie/X-5466-2019; Ramstein, Gilles/L-3328-2014; Paillard, Didier/G-4776-2012</t>
  </si>
  <si>
    <t>Ramstein, Gilles/0000-0002-1522-917X; Paillard, Didier/0000-0002-9995-2794</t>
  </si>
  <si>
    <t>JUN 26</t>
  </si>
  <si>
    <t>L12503</t>
  </si>
  <si>
    <t>10.1029/2008GL033472</t>
  </si>
  <si>
    <t>321MG</t>
  </si>
  <si>
    <t>Green Published, Bronze</t>
  </si>
  <si>
    <t>WOS:000257308700001</t>
  </si>
  <si>
    <t>Murray, T; Corr, H; Forieri, A; Smith, AM</t>
  </si>
  <si>
    <t>Murray, T.; Corr, H.; Forieri, A.; Smith, A. M.</t>
  </si>
  <si>
    <t>Contrasts in hydrology between regions of basal deformation and sliding beneath Rutford Ice Stream, West Antarctica, mapped using radar and seismic data</t>
  </si>
  <si>
    <t>BED</t>
  </si>
  <si>
    <t>[1] Spatially coincident radar and seismic data collected two weeks apart on Rutford Ice Stream were analyzed to investigate the mechanical and hydrological characteristics of the ice-bed interface. Seismic data allow the differentiation of bed deformation from basal sliding. In radar data, sliding regions are characterised by highly variable permittivity values. We suggest these regions are characterized by small water bodies, possibly a cavity system. In contrast, deforming regions are characterised by consistent, low permittivity, which suggests intimate ice-sediment contact without a distinct interface. However, in deforming regions we identified three bright radar features similar to 50 m wide, consistent in lateral location over distances of 5-10 km up and downstream, and comprised of water less than similar to 0.2 m deep. We interpret these as part of a water evacuation system, most likely canals. Our results emphasise the great potential of radar and seismic techniques in combination to infer basal conditions beneath ice streams.</t>
  </si>
  <si>
    <t>[Murray, T.; Forieri, A.] Univ Coll Swansea, Sch Environm &amp; Soc, Swansea SA2 8PP, W Glam, Wales; [Corr, H.; Smith, A. M.] British Antarctic Survey, NERC, Cambridge CB3 0ET, England</t>
  </si>
  <si>
    <t>Swansea University; UK Research &amp; Innovation (UKRI); Natural Environment Research Council (NERC); NERC British Antarctic Survey</t>
  </si>
  <si>
    <t>Murray, T (corresponding author), Univ Coll Swansea, Sch Environm &amp; Soc, Singleton Pk, Swansea SA2 8PP, W Glam, Wales.</t>
  </si>
  <si>
    <t>t.murray@swansea.ac.uk</t>
  </si>
  <si>
    <t>Corr, Hugh/C-5398-2011</t>
  </si>
  <si>
    <t>Murray, Tavi/0000-0001-6714-6512</t>
  </si>
  <si>
    <t>Natural Environment Research Council [bas010018] Funding Source: researchfish; NERC [bas010018] Funding Source: UKRI</t>
  </si>
  <si>
    <t>L12504</t>
  </si>
  <si>
    <t>10.1029/2008GL033681</t>
  </si>
  <si>
    <t>WOS:000257308700003</t>
  </si>
  <si>
    <t>Lunt, DJ; Ridgwell, A; Valdes, PJ; Seale, A</t>
  </si>
  <si>
    <t>Lunt, D. J.; Ridgwell, A.; Valdes, P. J.; Seale, A.</t>
  </si>
  <si>
    <t>Sunshade World: A fully coupled GCM evaluation of the climatic impacts of geoengineering</t>
  </si>
  <si>
    <t>EARTHS RADIATION BALANCE; CLOUD; CO2</t>
  </si>
  <si>
    <t>Sunshade geoengineering - the installation of reflective mirrors between the Earth and the Sun to reduce incoming solar radiation, has been proposed as a mitigative measure to counteract anthropogenic global warming. Although the popular conception is that geoengineering can re-establish a 'natural' pre-industrial climate, such a scheme would itself inevitably lead to climate change, due to the different temporal and spatial forcing of increased CO2 compared to reduced solar radiation. We investigate the magnitude and nature of this climate change for the first time within a fully coupled General Circulation Model. We find significant cooling of the tropics, warming of high latitudes and related sea ice reduction, a reduction in intensity of the hydrological cycle, reduced ENSO variability, and an increase in Atlantic overturning. However, the changes are small relative to those associated with an unmitigated rise in CO2 emissions. Other problems such as ocean acidification remain unsolved by sunshade geoengineering.</t>
  </si>
  <si>
    <t>[Lunt, D. J.; Ridgwell, A.; Valdes, P. J.; Seale, A.] Univ Bristol, Sch Geog Sci, BRIDGE, Bristol, Avon, England; [Lunt, D. J.] British Antarctic Survey, Geol Sci Div, Cambridge CB3 0ET, England</t>
  </si>
  <si>
    <t>University of Bristol; UK Research &amp; Innovation (UKRI); Natural Environment Research Council (NERC); NERC British Antarctic Survey</t>
  </si>
  <si>
    <t>Lunt, DJ (corresponding author), Univ Bristol, Sch Geog Sci, BRIDGE, Bristol, Avon, England.</t>
  </si>
  <si>
    <t>d.j.lunt@bristol.ac.uk</t>
  </si>
  <si>
    <t>Ridgwell, Andy/AAD-9487-2021; Valdes, Paul/T-2004-2019; Valdes, Paul J/C-4129-2013; Lunt, Daniel/G-9451-2011</t>
  </si>
  <si>
    <t>Ridgwell, Andy/0000-0003-2333-0128; Valdes, Paul/0000-0002-1902-3283; Lunt, Daniel/0000-0003-3585-6928</t>
  </si>
  <si>
    <t>Natural Environment Research Council [bas010019] Funding Source: researchfish; NERC [bas010019] Funding Source: UKRI</t>
  </si>
  <si>
    <t>JUN 25</t>
  </si>
  <si>
    <t>L12710</t>
  </si>
  <si>
    <t>10.1029/2008GL033674</t>
  </si>
  <si>
    <t>321ME</t>
  </si>
  <si>
    <t>WOS:000257308500001</t>
  </si>
  <si>
    <t>Santee, ML; MacKenzie, IA; Manney, GL; Chipperfield, MP; Bernath, PF; Walker, KA; Boone, CD; Froidevaux, L; Livesey, NJ; Waters, JW</t>
  </si>
  <si>
    <t>Santee, M. L.; MacKenzie, I. A.; Manney, G. L.; Chipperfield, M. P.; Bernath, P. F.; Walker, K. A.; Boone, C. D.; Froidevaux, L.; Livesey, N. J.; Waters, J. W.</t>
  </si>
  <si>
    <t>A study of stratospheric chlorine partitioning based on new satellite measurements and modeling</t>
  </si>
  <si>
    <t>JOURNAL OF GEOPHYSICAL RESEARCH-ATMOSPHERES</t>
  </si>
  <si>
    <t>HALOGEN OCCULTATION EXPERIMENT; ATMOSPHERIC TRACE GASES; ARCTIC OZONE LOSS; POLAR VORTEX; FTIR MEASUREMENTS; CLO DIMER; SOUTHERN-HEMISPHERE; ANTARCTIC VORTEX; COLUMN AMOUNTS; EOS MLS</t>
  </si>
  <si>
    <t>Two recent satellite instruments, the Microwave Limb Sounder (MLS) on Aura and the Atmospheric Chemistry Experiment Fourier Transform Spectrometer (ACE-FTS) on SCISAT-1, provide an unparalleled opportunity to investigate stratospheric chlorine partitioning. We use measurements of ClO, HCl, ClONO2, and other species from MLS and ACE-FTS to study the evolution of reactive and reservoir chlorine throughout the lower stratosphere during two Arctic and two Antarctic winters characterizing both relatively cold and relatively warm and disturbed conditions in each hemisphere. At middle latitudes, and at high latitudes at the beginning of winter, HCl greatly exceeds ClONO2, representing similar to 0.7-0.8 of estimated total inorganic chlorine. Nearly complete chlorine activation is seen inside the winter polar vortices. In the Arctic, chlorine recovery follows different paths in the two winters: In 2004/2005, deactivation initially takes place through reformation of ClONO2, then both reservoirs are produced concurrently but ClONO2 continues to significantly exceed HCl, and finally slow repartitioning between ClONO2 and HCl occurs; in 2005/2006, HCl and ClONO2 rise at comparable rates in some regions. In the Antarctic, chlorine deactivation proceeds in a similar manner in both winters, with a rapid rise in HCl accompanying the decrease in ClO. The measurements are compared to customized runs of the SLIMCAT three-dimensional chemical transport model. Measured and modeled values typically agree well outside the winter polar regions. In contrast, partly because of the equilibrium scheme used to parameterize polar stratospheric clouds, the model overestimates the magnitude, spatial extent, and duration of chlorine activation inside the polar vortices.</t>
  </si>
  <si>
    <t>[Santee, M. L.; Manney, G. L.; Froidevaux, L.; Livesey, N. J.; Waters, J. W.] CALTECH, Jet Prop Lab, Pasadena, CA 91109 USA; [MacKenzie, I. A.] Univ Edinburgh, Sch Geosci, Edinburgh EH9 3JN, Midlothian, Scotland; [Chipperfield, M. P.] Univ Leeds, Sch Environm, Leeds LS2 9JT, W Yorkshire, England; [Bernath, P. F.; Boone, C. D.] Univ Waterloo, Dept Chem, Waterloo, ON N2L 3G1, Canada</t>
  </si>
  <si>
    <t>California Institute of Technology; National Aeronautics &amp; Space Administration (NASA); NASA Jet Propulsion Laboratory (JPL); University of Edinburgh; University of Leeds; University of Waterloo</t>
  </si>
  <si>
    <t>Santee, ML (corresponding author), CALTECH, Jet Prop Lab, Mail Stop 183-701,4800 Oak Grove Dr, Pasadena, CA 91109 USA.</t>
  </si>
  <si>
    <t>mls@mls.jpl.nasa.gov</t>
  </si>
  <si>
    <t>Santee, MIchelle/R-5762-2019; Livesey, Nathaniel/AGQ-7257-2022; Bernath, Peter F/B-6567-2012; Manney, Gloria/JED-7207-2023; Chipperfield, Martyn/H-6359-2013; mackenzie, ian a/E-9320-2013</t>
  </si>
  <si>
    <t>Bernath, Peter F/0000-0002-1255-396X; Chipperfield, Martyn/0000-0002-6803-4149;</t>
  </si>
  <si>
    <t>Natural Environment Research Council [earth010004, NE/D012538/1] Funding Source: researchfish; NERC [NE/D012538/1, earth010004] Funding Source: UKRI</t>
  </si>
  <si>
    <t>2169-897X</t>
  </si>
  <si>
    <t>2169-8996</t>
  </si>
  <si>
    <t>J GEOPHYS RES-ATMOS</t>
  </si>
  <si>
    <t>J. Geophys. Res.-Atmos.</t>
  </si>
  <si>
    <t>D12</t>
  </si>
  <si>
    <t>D12307</t>
  </si>
  <si>
    <t>10.1029/2007JD009057</t>
  </si>
  <si>
    <t>321MQ</t>
  </si>
  <si>
    <t>WOS:000257309700001</t>
  </si>
  <si>
    <t>Sodemann, H; Masson-Delmotte, V; Schwierz, C; Vinther, BM; Wernli, H</t>
  </si>
  <si>
    <t>Sodemann, H.; Masson-Delmotte, V.; Schwierz, C.; Vinther, B. M.; Wernli, H.</t>
  </si>
  <si>
    <t>Interannual variability of Greenland winter precipitation sources: 2. Effects of North Atlantic Oscillation variability on stable isotopes in precipitation</t>
  </si>
  <si>
    <t>ICE-CORE RECORD; DRONNING-MAUD-LAND; DEUTERIUM-EXCESS; ANTARCTIC SNOW; CIRCULATION MODEL; VOSTOK STATION; WATER ISOTOPES; TEMPERATURE; CLIMATE; SIGNAL</t>
  </si>
  <si>
    <t>A new Lagrangian moisture source diagnostic is applied to identify the atmospheric conditions relevant for the fractionation of stable water isotopes during evaporation over the ocean and subsequent transport to Greenland. Northern Hemisphere winter months with positive and negative North Atlantic Oscillation (NAO) index are studied on the basis of ERA-40 reanalysis data. Diagnosed moisture transport conditions are supplied to a Rayleigh-type isotope fractionation model to derive estimates for the isotopic composition of stable isotopes in winter precipitation on the Greenland plateau for the two NAO phases. Because of changes in atmospheric circulation, moisture source locations for precipitation in Greenland vary strongly for different phases of the NAO. The mean source SST is similar to 5.0 K warmer during negative NAO months compared to the positive phase. This signal is considerably stronger than what would result from interannual SST variability at a spatially fixed moisture source. Furthermore, moisture transport takes place at warmer temperatures during NAO negative conditions. Simulated average isotopic depletion of Greenland precipitation is less negative by 3.8 +/- 6.8% for delta O-18 during the negative compared to the positive NAO phase. Comparison with ice core data from central Greenland for three winters shows good agreement between observed and simulated variability. The synoptic interplay of the initial conditions at the moisture sources and of the atmospheric transport conditions leads to enhanced NAO-related interannual variability of stable isotopes. This could be important for understanding rapid shifts in stable isotopes during past climates. The isotope modeling applied here, however, considerably underestimates the absolute level of isotopic depletion. The offset is attributed to approximations in the model and uncertainties in the comparison with observational data. The high spatial resolution of the Lagrangian method reveals the nonhomogeneous structure of isotope NAO variability over the Greenland ice sheet. The results are therefore potentially useful for selecting new ice core drilling sites with maximum NAO variability.</t>
  </si>
  <si>
    <t>[Sodemann, H.; Schwierz, C.] ETH, Inst Atmospher &amp; Climate Sci, Zurich, Switzerland; [Masson-Delmotte, V.] CEA Saclay, UVSQ, CNRS, CEA,IPSL,LSCE, F-91191 Gif Sur Yvette, France; [Vinther, B. M.] Univ Copenhagen, Niels Bohr Inst, Ctr Ice &amp; Climate, DK-2100 Copenhagen, Denmark; [Wernli, H.] Johannes Gutenberg Univ Mainz, Inst Atmospher Phys, D-55099 Mainz, Germany</t>
  </si>
  <si>
    <t>Swiss Federal Institutes of Technology Domain; ETH Zurich; Universite Paris Saclay; CEA; Centre National de la Recherche Scientifique (CNRS); Universite Paris Cite; University of Copenhagen; Niels Bohr Institute; Johannes Gutenberg University of Mainz</t>
  </si>
  <si>
    <t>Sodemann, H (corresponding author), Norwegian Inst Air Res, N-2027 Kjeller, Norway.</t>
  </si>
  <si>
    <t>harald.sodemann@nilu.no</t>
  </si>
  <si>
    <t>Sodemann, Harald/ABG-5304-2021; Masson-Delmotte, Valerie L/G-1995-2011; Wernli, Heini/F-1099-2016</t>
  </si>
  <si>
    <t>Sodemann, Harald/0000-0002-8167-0860; Masson-Delmotte, Valerie L/0000-0001-8296-381X; Vinther, Bo/0000-0002-6078-771X; Wernli, Heini/0000-0001-9674-4837</t>
  </si>
  <si>
    <t>D12111</t>
  </si>
  <si>
    <t>10.1029/2007JD009416</t>
  </si>
  <si>
    <t>WOS:000257309700005</t>
  </si>
  <si>
    <t>Stammer, D</t>
  </si>
  <si>
    <t>Stammer, D.</t>
  </si>
  <si>
    <t>Response of the global ocean to Greenland and Antarctic ice melting</t>
  </si>
  <si>
    <t>JOURNAL OF GEOPHYSICAL RESEARCH-OCEANS</t>
  </si>
  <si>
    <t>SEA-LEVEL CHANGE; MERIDIONAL OVERTURNING CIRCULATION; REANALYSIS PROJECT; DECADAL CHANGES; MASS-BALANCE; MODELS; SHEET; TELECONNECTIONS; VARIABILITY; ADJUSTMENT</t>
  </si>
  <si>
    <t>We investigate the transient response of the global ocean circulation to enhanced freshwater forcing associated with melting of the Greenland and Antarctic ice sheets. Increased freshwater runoff from Greenland results in a basin-wide response of the North Atlantic on timescales of a few years, communicated via boundary waves, equatorial Kelvin waves, and westward propagating Rossby waves. In addition, modified air-sea interaction plays a fundamental role in setting up the basin-scale response of the Atlantic circulation in its subpolar and subtropical gyres. In particular, the modified ocean dynamics and thermodynamics lead to a depression in the central North and South Atlantic that would not be expected from linear wave dynamics. Moreover, the heat content increases on basin and global scales in response to anomalous freshwater forcing from Greenland, suggesting that the ocean's response to enhanced freshwater forcing would be a coupled problem. Other parts of the world ocean experience a much slower adjustment in response to Greenland freshwater forcing, communicated via planetary waves, but also involving advective/ diffusive processes, especially in the Southern Ocean. Over the 50 years considered here, most of the sea level increase associated with freshwater input from Greenland remains in the Atlantic Ocean. In contrast, ice melting around Antarctica has a much reduced effect on the global ocean. In both cases, none of the basins came to a stationary state during the 50-year experiment.</t>
  </si>
  <si>
    <t>[Stammer, D.] Univ Hamburg, Inst Meereskunde, D-20146 Hamburg, Germany; [Stammer, D.] Univ Calif San Diego, Scripps Inst Oceanog, La Jolla, CA 92093 USA</t>
  </si>
  <si>
    <t>University of Hamburg; University of California System; University of California San Diego; Scripps Institution of Oceanography</t>
  </si>
  <si>
    <t>Stammer, D (corresponding author), Univ Hamburg, Inst Meereskunde, Bundestr 53, D-20146 Hamburg, Germany.</t>
  </si>
  <si>
    <t>stammer@ifm.uni-hamburg.de</t>
  </si>
  <si>
    <t>2169-9275</t>
  </si>
  <si>
    <t>2169-9291</t>
  </si>
  <si>
    <t>J GEOPHYS RES-OCEANS</t>
  </si>
  <si>
    <t>J. Geophys. Res.-Oceans</t>
  </si>
  <si>
    <t>JUN 24</t>
  </si>
  <si>
    <t>C6</t>
  </si>
  <si>
    <t>C06022</t>
  </si>
  <si>
    <t>10.1029/2006JC004079</t>
  </si>
  <si>
    <t>Oceanography</t>
  </si>
  <si>
    <t>321NI</t>
  </si>
  <si>
    <t>WOS:000257311900002</t>
  </si>
  <si>
    <t>Rohde, RA; Price, PB; Bay, RC; Bramall, NE</t>
  </si>
  <si>
    <t>Rohde, Robert A.; Price, P. Buford; Bay, Ryan C.; Bramall, Nathan E.</t>
  </si>
  <si>
    <t>In situ microbial metabolism as a cause of gas anomalies in ice</t>
  </si>
  <si>
    <t>PROCEEDINGS OF THE NATIONAL ACADEMY OF SCIENCES OF THE UNITED STATES OF AMERICA</t>
  </si>
  <si>
    <t>climate; ice cores; proxy for dust storms; scanning fluorimetry; N2O</t>
  </si>
  <si>
    <t>GREENLAND ICE; CORE PROJECT; ATMOSPHERIC METHANE; NITROUS-OXIDE; GLACIAL ICE; BASAL ICE; MICROPARTICLES; RECORDS; ORIGIN; GROWTH</t>
  </si>
  <si>
    <t>Isolated spikes of anomalously high concentrations of N2O have been reported at depths in Greenland and Antarctic ice cores corresponding to narrow time intervals over the past approximate to 10(5), ears. Now, using a calibrated spectrofluorimeter to map protein-bound Trp, a proxy for microbes, versus depth in the 3,053-m GISP2 ice core, we find six depths at which localized spikes of high cell concentrations coincide with N2O spikes. We show that the excess gases are consistent with accumulation of in situ metabolic wastes during residence times of the excess microbes in the ice. Because of sparseness of N2O measurements and our spectrofluorimetry versus depth, the total number of microbially produced N(2)Ov spikes in GISP2 is probably much larger than six. Spikes of excess methanogens coincident with CH4 spikes are found at three depths in the bottom 3% of GISP2, most likely because of methanogenic metabolism in the underlying silty ice, followed by turbulent flow of the lowest approximate to 90 m of ice. The apparent rates of in situ production of N2O and CH4 spikes by metabolism are observed to be consistent with a single activation energy, U, and maintain proportionality to exp(-U/RT) over the entire temperature range down to -40 degrees C. Fluorescence of nonmicrobial aerosols in GISP2 ice is distinguishable from microbial fluorescence by its different emission spectra. Our spectrofluorimetric scans throughout the GISP2 ice core lead us to conclude that both microbes and nonmicrobial aerosols are deposited in discontinuous bursts, which may provide a tool for studying wind storms in the distant past.</t>
  </si>
  <si>
    <t>[Rohde, Robert A.; Price, P. Buford; Bay, Ryan C.; Bramall, Nathan E.] Univ Calif Berkeley, Dept Phys, Berkeley, CA 94720 USA</t>
  </si>
  <si>
    <t>Price, PB (corresponding author), Univ Calif Berkeley, Dept Phys, Berkeley, CA 94720 USA.</t>
  </si>
  <si>
    <t>bprice@berkeley.edu</t>
  </si>
  <si>
    <t>Bramall, Nathan/0000-0003-4783-5008</t>
  </si>
  <si>
    <t>Directorate For Geosciences [0738658, 0739743] Funding Source: National Science Foundation; Office of Polar Programs (OPP) [0739743, 0738658] Funding Source: National Science Foundation; Office of Polar Programs (OPP); Directorate For Geosciences [0944348] Funding Source: National Science Foundation</t>
  </si>
  <si>
    <t>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</si>
  <si>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NATL ACAD SCIENCES</t>
  </si>
  <si>
    <t>2101 CONSTITUTION AVE NW, WASHINGTON, DC 20418 USA</t>
  </si>
  <si>
    <t>0027-8424</t>
  </si>
  <si>
    <t>P NATL ACAD SCI USA</t>
  </si>
  <si>
    <t>Proc. Natl. Acad. Sci. U. S. A.</t>
  </si>
  <si>
    <t>10.1073/pnas.0803763105</t>
  </si>
  <si>
    <t>319TA</t>
  </si>
  <si>
    <t>WOS:000257185700034</t>
  </si>
  <si>
    <t>Pastotino, G; Scarabino, F</t>
  </si>
  <si>
    <t>Pastotino, Guido; Scarabino, Fabrizio</t>
  </si>
  <si>
    <t>Two new deep-sea muricids (Gastropoda) from Argentina</t>
  </si>
  <si>
    <t>NAUTILUS</t>
  </si>
  <si>
    <t>Mollusca; muricidae; trophon; South-western; Atlantic; gastropods; taxonomy; patagonia</t>
  </si>
  <si>
    <t>GENUS TROPHON MONTFORT; ANTARCTIC WATERS; RAPANINAE</t>
  </si>
  <si>
    <t>Two new species of muricids belonging in the genus Trophon are described from the upper Slope off the Atlantic coast of Argentina. Both species have a small size for the genus. The radulae show similarities with those of Antarctic species of the same genus. Trophon columbarioides new species has a smooth shell with spines pointed adapically and was collected at 37-38 degrees S, in 209-382 m Trophon fasciolarioides new species has prominent spiral cords and was collected at Burwood Bank in 286-292 in depth and off Bahia Blanca in ca. 1000 in depth.</t>
  </si>
  <si>
    <t>[Pastotino, Guido] Museo Argentino Ciencias Nat Bernardino Rivadavia, RA-1405 Buenos Aires, DF, Argentina; [Scarabino, Fabrizio] Museo Nacl Hist Nat &amp; Antropol, Montevideo 11000, Uruguay; [Scarabino, Fabrizio] Direcc Nacl Recursos Acuat, Montevideo 11000, Uruguay</t>
  </si>
  <si>
    <t>Museo Argentino de Ciencias Naturales Bernardino Rivadavia (MACN)</t>
  </si>
  <si>
    <t>Pastotino, G (corresponding author), Museo Argentino Ciencias Nat Bernardino Rivadavia, Av Angel Gallardo 470,3 Piso Lab 57, RA-1405 Buenos Aires, DF, Argentina.</t>
  </si>
  <si>
    <t>gpastorino@macn.gov.ar; fscara@gmail.com</t>
  </si>
  <si>
    <t>BAILEY-MATTHEWS SHELL MUSEUM</t>
  </si>
  <si>
    <t>SANIBEL</t>
  </si>
  <si>
    <t>C/O DR JOSE H LEAL, ASSOCIATE/MANAGING EDITOR, 3075 SANIBEL-CAPTIVA RD, SANIBEL, FL 33957 USA</t>
  </si>
  <si>
    <t>0028-1344</t>
  </si>
  <si>
    <t>Nautilus</t>
  </si>
  <si>
    <t>JUN 23</t>
  </si>
  <si>
    <t>Marine &amp; Freshwater Biology; Zoology</t>
  </si>
  <si>
    <t>317VC</t>
  </si>
  <si>
    <t>WOS:000257047300005</t>
  </si>
  <si>
    <t>Cuffey, KM</t>
  </si>
  <si>
    <t>Cuffey, Kurt M.</t>
  </si>
  <si>
    <t>Climate change - A matter of firn</t>
  </si>
  <si>
    <t>SCIENCE</t>
  </si>
  <si>
    <t>ANTARCTIC ICE-SHEET</t>
  </si>
  <si>
    <t>[Cuffey, Kurt M.] Univ Calif Berkeley, Dept Geog, Berkeley, CA 94720 USA</t>
  </si>
  <si>
    <t>Cuffey, KM (corresponding author), Univ Calif Berkeley, Dept Geog, Berkeley, CA 94720 USA.</t>
  </si>
  <si>
    <t>kcuffey@berkeley.edu</t>
  </si>
  <si>
    <t>AMER ASSOC ADVANCEMENT SCIENCE</t>
  </si>
  <si>
    <t>1200 NEW YORK AVE, NW, WASHINGTON, DC 20005 USA</t>
  </si>
  <si>
    <t>0036-8075</t>
  </si>
  <si>
    <t>Science</t>
  </si>
  <si>
    <t>JUN 20</t>
  </si>
  <si>
    <t>10.1126/science.1158683</t>
  </si>
  <si>
    <t>315NM</t>
  </si>
  <si>
    <t>WOS:000256886700032</t>
  </si>
  <si>
    <t>Helsen, MM; van den Broeke, MR; van de Wal, RSW; van de Berg, WJ; van Meijgaard, E; Davis, CH; Li, YH; Goodwin, I</t>
  </si>
  <si>
    <t>Helsen, Michiel M.; van den Broeke, Michiel R.; van de Wal, Roderik S. W.; van de Berg, Willem Jan; van Meijgaard, Erik; Davis, Curt H.; Li, Yonghong; Goodwin, Ian</t>
  </si>
  <si>
    <t>Elevation changes in Antarctica mainly determined by accumulation variability</t>
  </si>
  <si>
    <t>SEA-LEVEL RISE; FIRN DENSIFICATION; MASS-BALANCE; ICE; PRECIPITATION; FLUCTUATIONS; GREENLAND; SNOWFALL</t>
  </si>
  <si>
    <t>Antarctic Ice Sheet elevation changes, which are used to estimate changes in the mass of the interior regions, are caused by variations in the depth of the firn layer. We quantified the effects of temperature and accumulation variability on firn layer thickness by simulating the 1980- 2004 Antarctic firn depth variability. For most of Antarctica, the magnitudes of firn depth changes were comparable to those of observed ice sheet elevation changes. The current satellite observational period (similar to 15 years) is too short to neglect these fluctuations in firn depth when computing recent ice sheet mass changes. The amount of surface lowering in the Amundsen Sea Embayment revealed by satellite radar altimetry ( 1995- 2003) was increased by including firn depth fluctuations, while a large area of the East Antarctic Ice Sheet slowly grew as a result of increased accumulation.</t>
  </si>
  <si>
    <t>[Helsen, Michiel M.; van den Broeke, Michiel R.; van de Wal, Roderik S. W.; van de Berg, Willem Jan] Univ Utrecht, Inst Marine &amp; Atmospher Res, NL-3584 CC Utrecht, Netherlands; [van Meijgaard, Erik] Royal Netherlands Meteorol Inst, NL-3732 GK De Bilt, Netherlands; [Davis, Curt H.; Li, Yonghong] Univ Missouri, Dept Elect &amp; Comp Engn, Columbia, MO 65211 USA; [Goodwin, Ian] Univ Newcastle, Sch Environm &amp; Life Sci, Callaghan, NSW 2308, Australia</t>
  </si>
  <si>
    <t>Utrecht University; Royal Netherlands Meteorological Institute; University of Missouri System; University of Missouri Columbia; University of Newcastle</t>
  </si>
  <si>
    <t>Helsen, MM (corresponding author), Univ Utrecht, Inst Marine &amp; Atmospher Res, NL-3584 CC Utrecht, Netherlands.</t>
  </si>
  <si>
    <t>m.m.helsen@uu.nl</t>
  </si>
  <si>
    <t>van de Berg, Willem Jan/H-4385-2011; van de wal, roderik/D-1705-2011; Van den Broeke, Michiel R./F-7867-2011</t>
  </si>
  <si>
    <t>van de Berg, Willem Jan/0000-0002-8232-2040; van de wal, roderik/0000-0003-2543-3892; Van den Broeke, Michiel R./0000-0003-4662-7565; Goodwin, Ian/0000-0001-8682-6409</t>
  </si>
  <si>
    <t>1095-9203</t>
  </si>
  <si>
    <t>10.1126/science.1153894</t>
  </si>
  <si>
    <t>WOS:000256886700045</t>
  </si>
  <si>
    <t>Pawson, S; Stolarski, RS; Douglass, AR; Newman, PA; Nielsen, JE; Frith, SM; Gupta, ML</t>
  </si>
  <si>
    <t>Pawson, Steven; Stolarski, Richard S.; Douglass, Anne R.; Newman, Paul A.; Nielsen, J. Eric; Frith, Stacey M.; Gupta, Mohan L.</t>
  </si>
  <si>
    <t>Goddard Earth Observing System chemistry-climate model simulations of stratospheric ozone-temperature coupling between 1950 and 2005</t>
  </si>
  <si>
    <t>INTERACTIVE CHEMISTRY; TROPICAL STRATOSPHERE; MIDDLE ATMOSPHERE; CIRCULATION; TRANSPORT; SENSITIVITY; TROPOSPHERE; TRENDS; DYNAMICS; LOSSES</t>
  </si>
  <si>
    <t>Links between the stratospheric thermal structure and the ozone distribution are explored in the Goddard Earth Observing System chemistry-climate model (CCM). Ozone and temperature fields are validated using estimates based on observations. An experimental strategy is used to explore sensitivities of temperature and ozone using the CCM alongside the underlying general circulation model (GCM) with ozone specified from either observations or from a chemistry-transport model (CTM), which uses the same chemical modules as the CCM. In the CTM, upper stratospheric ozone is biased low compared to observations; GCM experiments reveal that using CTM ozone reduces a warm temperature bias near the stratopause in the GCM, and this improvement is also seen in the CCM. Near 5 hPa, the global-mean ozone profile is biased low in the CTM but is close to observations in the CCM, which suggests that the temperature feedbacks are important in simulating the ozone distribution in the middle stratosphere. In the low stratosphere there is a high bias in simulated ozone, which forces a warm bias in the CCM. The high ozone also leads to an overestimate in total column ozone of several tens of Dobson units in the polar regions. In the late part of the twentieth century the seasonal activation of chlorine, especially over Antarctica, destroys ozone as expected, so that chlorine-induced ozone decreases are overestimated in the CCM compared to the real atmosphere. Ozone-change experiments reveal that the thermal structures of the GCM and CCM respond in a similar manner to ozone differences between 1980 and 2000, with a peak ozone-induced temperature change of about 1.5 K (over 20 years) near the stratopause, which is at the low end of the range computed by other models. Greenhouse-gas-induced cooling increases with altitude and, near the stratopause, contributes an additional 1.3 K to the cooling near 1 hPa between 1980 and 2000. In the Antarctic, the ozone hole is simulated with some success by the CCM. As with many other models, the polar vortex is too persistent in late winter, but counteracting this, the CCM undergoes too much midwinter variability, meaning the ozone hole is more variable than it is in the real atmosphere. Temperature decreases associated with the ozone hole in the CCM are similar to those computed with other models.</t>
  </si>
  <si>
    <t>[Pawson, Steven; Nielsen, J. Eric] NASA, Goddard Space Flight Ctr, Global Modeling &amp; Assimilat Off, Greenbelt, MD 20771 USA; [Gupta, Mohan L.] FAA, Washington, DC 20591 USA; [Stolarski, Richard S.; Douglass, Anne R.; Newman, Paul A.; Frith, Stacey M.] NASA, Goddard Space Flight Ctr, Atmospher Chem &amp; Dynam Branch, Greenbelt, MD 20771 USA</t>
  </si>
  <si>
    <t>National Aeronautics &amp; Space Administration (NASA); NASA Goddard Space Flight Center; National Aeronautics &amp; Space Administration (NASA); NASA Goddard Space Flight Center</t>
  </si>
  <si>
    <t>Pawson, S (corresponding author), NASA, Goddard Space Flight Ctr, Global Modeling &amp; Assimilat Off, Mail Code 610-1, Greenbelt, MD 20771 USA.</t>
  </si>
  <si>
    <t>steven.pawson@nasa.gov</t>
  </si>
  <si>
    <t>Stolarski, Richard S/B-8499-2013; Douglass, Anne R/D-4655-2012; Frith, Stacey/HMD-9437-2023; Newman, Paul A./D-6208-2012; Pawson, Steven/I-1865-2014</t>
  </si>
  <si>
    <t>Frith, Stacey/0000-0001-6894-0574; Newman, Paul A./0000-0003-1139-2508; Pawson, Steven/0000-0003-0200-717X</t>
  </si>
  <si>
    <t>JUN 19</t>
  </si>
  <si>
    <t>D12103</t>
  </si>
  <si>
    <t>10.1029/2007JD009511</t>
  </si>
  <si>
    <t>317YC</t>
  </si>
  <si>
    <t>WOS:000257055300005</t>
  </si>
  <si>
    <t>Domingues, CM; Church, JA; White, NJ; Gleckler, PJ; Wijffels, SE; Barker, PM; Dunn, JR</t>
  </si>
  <si>
    <t>Domingues, Catia M.; Church, John A.; White, Neil J.; Gleckler, Peter J.; Wijffels, Susan E.; Barker, Paul M.; Dunn, Jeff R.</t>
  </si>
  <si>
    <t>Improved estimates of upper-ocean warming and multi-decadal sea-level rise</t>
  </si>
  <si>
    <t>NATURE</t>
  </si>
  <si>
    <t>TEMPERATURE; PRESSURE; IMPACT</t>
  </si>
  <si>
    <t>Changes in the climate system's energy budget are predominantly revealed in ocean temperatures(1,2) and the associated thermal expansion contribution to sea-level rise(2). Climate models, however, do not reproduce the large decadal variability in globally averaged ocean heat content inferred from the sparse observational database(3,4), even when volcanic and other variable climate forcings are included. The sum of the observed contributions has also not adequately explained the overall multi-decadal rise(2). Here we report improved estimates of near-global ocean heat content and thermal expansion for the upper 300 m and 700 m of the ocean for 1950-2003, using statistical techniques that allow for sparse data coverage(5-7) and applying recent corrections(8) to reduce systematic biases in the most common ocean temperature observations(9). Our ocean warming and thermal expansion trends for 1961-2003 are about 50 per cent larger than earlier estimates but about 40 per cent smaller for 1993-2003, which is consistent with the recognition that previously estimated rates for the 1990s had a positive bias as a result of instrumental errors(8-10). On average, the decadal variability of the climate models with volcanic forcing now agrees approximately with the observations, but the modelled multi-decadal trends are smaller than observed. We add our observational estimate of upper-ocean thermal expansion to other contributions to sea-level rise and find that the sum of contributions from 1961 to 2003 is about 1.5 +/- 0.4 mm yr(-1), in good agreement with our updated estimate of near-global mean sea-level rise (using techniques established in earlier studies(6,7)) of 1.6 +/- 0.2 mm yr(-1).</t>
  </si>
  <si>
    <t>[Domingues, Catia M.; Church, John A.; White, Neil J.; Wijffels, Susan E.; Barker, Paul M.; Dunn, Jeff R.] CSIRO Marine &amp; Atmospher Res, Ctr Australian Weather &amp; Climate Res, Hobart, Tas 7001, Australia; [Church, John A.; White, Neil J.] Antarctic Climate &amp; Ecosyst Cooperat Res Ctr, Hobart, Tas 7001, Australia; [Gleckler, Peter J.] Lawrence Livermore Natl Lab, Program Climate Model Diag &amp; Intercomparison, Livermore, CA 94550 USA</t>
  </si>
  <si>
    <t>Commonwealth Scientific &amp; Industrial Research Organisation (CSIRO); Antarctic Climate &amp; Ecosystems Cooperative Research Centre (ACE CRC); United States Department of Energy (DOE); Lawrence Livermore National Laboratory</t>
  </si>
  <si>
    <t>Domingues, CM (corresponding author), CSIRO Marine &amp; Atmospher Res, Ctr Australian Weather &amp; Climate Res, GPO Box 1538, Hobart, Tas 7001, Australia.</t>
  </si>
  <si>
    <t>catia.domingues@csiro.au</t>
  </si>
  <si>
    <t>Church, John A/A-1541-2012; Jiao, Liqing/A-8821-2011; Domingues, Catia M./A-2901-2015; Gleckler, Peter/H-4762-2012; White, Neil/B-2077-2013; Wijffels, Susan E/I-8215-2012; White, Nicholas J/I-4629-2012</t>
  </si>
  <si>
    <t>Church, John A/0000-0002-7037-8194; Domingues, Catia M./0000-0001-5100-4595; Wijffels, Susan/0000-0002-4717-0811</t>
  </si>
  <si>
    <t>NATURE PUBLISHING GROUP</t>
  </si>
  <si>
    <t>LONDON</t>
  </si>
  <si>
    <t>MACMILLAN BUILDING, 4 CRINAN ST, LONDON N1 9XW, ENGLAND</t>
  </si>
  <si>
    <t>0028-0836</t>
  </si>
  <si>
    <t>1476-4687</t>
  </si>
  <si>
    <t>Nature</t>
  </si>
  <si>
    <t>U6</t>
  </si>
  <si>
    <t>10.1038/nature07080</t>
  </si>
  <si>
    <t>314WM</t>
  </si>
  <si>
    <t>WOS:000256839900054</t>
  </si>
  <si>
    <t>Reusch, AM; Nyblade, AA; Benoit, MH; Wiens, DA; Anandakrishnan, S; Voigt, D; Shore, PJ</t>
  </si>
  <si>
    <t>Reusch, Angela Marie; Nyblade, Andrew A.; Benoit, Margaret H.; Wiens, Douglas A.; Anandakrishnan, Sridhar; Voigt, Donald; Shore, Patrick J.</t>
  </si>
  <si>
    <t>Mantle transition zone thickness beneath Ross Island, the Transantarctic Mountains, and East Antarctica</t>
  </si>
  <si>
    <t>VELOCITY; DISCONTINUITIES; TOMOGRAPHY; TOPOGRAPHY; RIFT</t>
  </si>
  <si>
    <t>The thickness of the mantle transition zone beneath Ross Island, and parts of the Transantarctic Mountains and East Antarctic Craton has been mapped using data from the 2000-2003 Transantarctic Mountain Seismic Experiment to determine if, as indicated by some tomographic images, an upper mantle thermal anomaly centered beneath Ross Island is a deep-seated feature extending into the mantle transition zone. Some 2700 receiver functions have been stacked using a 3D velocity model, revealing Ps conversions from the mantle transition zone discontinuities at depths of 410 and 660 km. Results yield an average nearly uniform transition zone thickness (266 +/- 10 km) that is slightly larger than the global average, implying that the upper mantle thermal anomaly does not likely extend into the transition zone. This finding favors explanations for the upper mantle thermal anomaly invoking a plume head or small-scale convection.</t>
  </si>
  <si>
    <t>[Reusch, Angela Marie; Nyblade, Andrew A.; Anandakrishnan, Sridhar; Voigt, Donald] Penn State Univ, Dept Geosci, University Pk, PA 16802 USA; [Benoit, Margaret H.] Coll New Jersey, Dept Phys, Trenton, NJ 08628 USA; [Wiens, Douglas A.; Shore, Patrick J.] Washington Univ, Dept Earth &amp; Planetary Sci, St Louis, MO 63130 USA</t>
  </si>
  <si>
    <t>Pennsylvania Commonwealth System of Higher Education (PCSHE); Pennsylvania State University; Pennsylvania State University - University Park; College of New Jersey; Washington University (WUSTL)</t>
  </si>
  <si>
    <t>Reusch, AM (corresponding author), Penn State Univ, Dept Geosci, University Pk, PA 16802 USA.</t>
  </si>
  <si>
    <t>andy@geosc.psu.edu</t>
  </si>
  <si>
    <t>Anandakrishnan, Sridhar/JCN-5026-2023; Wiens, Douglas/J-9259-2016</t>
  </si>
  <si>
    <t>Wiens, Douglas/0000-0002-5169-4386</t>
  </si>
  <si>
    <t>JUN 18</t>
  </si>
  <si>
    <t>L12301</t>
  </si>
  <si>
    <t>10.1029/2008GL033873</t>
  </si>
  <si>
    <t>317WL</t>
  </si>
  <si>
    <t>WOS:000257051000003</t>
  </si>
  <si>
    <t>Yuan, XJ; Li, CH</t>
  </si>
  <si>
    <t>Yuan, Xiaojun; Li, Cuihua</t>
  </si>
  <si>
    <t>Climate modes in southern high latitudes and their impacts on Antarctic sea ice</t>
  </si>
  <si>
    <t>SEMIANNUAL OSCILLATION; CIRCUMPOLAR WAVE; HEMISPHERE CIRCULATION; TEMPERATURE-GRADIENTS; SURFACE TEMPERATURES; ANNUAL CYCLE; VARIABILITY; OCEAN; ATMOSPHERE; ENSO</t>
  </si>
  <si>
    <t>This study investigates the influence of high-latitude climate variability on the Antarctic sea ice distribution. The climate variability examined here includes distinct climate modes, such as the Southern Annular Mode (SAM), quasi-stationary wave-3 pattern, Pacific South American pattern (PSA) and Semi-Annual Oscillation (SAO). The results reveal that the largest impact comes from PSA in the Antarctic Dipole (ADP) region of the western hemisphere at the interannual timescale, which is related to the teleconnection of El Ni (n) over tildeo-Southern Oscillation (ENSO). The wave-3 pattern also has a strong and similar influence on sea ice in the ADP regions as PSA does, suggesting a positive interaction between PSA and wave- 3 in the region. Measured by correlation coefficients and their significance, SAM has a relatively less significant influence on sea ice than other climate patterns in general, though this global assessment may not apply to particular regions. Sea ice usually responds to large-scale atmospheric anomalies with a 2-month delay. The singular value decomposition (SVD) analysis reveals that the coupled relationships between sea ice and atmospheric pressure, temperature, and wind fields are represented by these known climate modes. The leading coupled modes between sea ice and sea level pressure are accountable for 50% to 60% of total squared covariance for all seasons. The leading modes between sea ice and surface air temperature in winter and summer are also accountable for the same amount of total squared covariance. It indicates that these well-established climate modes/patterns are the dominant factors leading to a strong interaction between the atmosphere and sea ice field in the Antarctic.</t>
  </si>
  <si>
    <t>[Yuan, Xiaojun; Li, Cuihua] Columbia Univ, Lamont Doherty Earth Observ, Palisades, NY 10964 USA</t>
  </si>
  <si>
    <t>Columbia University</t>
  </si>
  <si>
    <t>Yuan, XJ (corresponding author), Columbia Univ, Lamont Doherty Earth Observ, 61 Route 9W,POB 1000, Palisades, NY 10964 USA.</t>
  </si>
  <si>
    <t>xyuan@ldeo.columbia.edu</t>
  </si>
  <si>
    <t>Yuan, Xiaojun/J-1460-2014</t>
  </si>
  <si>
    <t>Yuan, Xiaojun/0000-0002-6530-1619; Li, Cuihua/0000-0001-8052-6317</t>
  </si>
  <si>
    <t>C06S91</t>
  </si>
  <si>
    <t>10.1029/2006JC004067</t>
  </si>
  <si>
    <t>317ZC</t>
  </si>
  <si>
    <t>Bronze, Green Published</t>
  </si>
  <si>
    <t>WOS:000257058000001</t>
  </si>
  <si>
    <t>Hendry, KR; Rickaby, REM</t>
  </si>
  <si>
    <t>Hendry, Katharine R.; Rickaby, Rosalind E. M.</t>
  </si>
  <si>
    <t>Opal (Zn/Si) ratios as a nearshore geochemical proxy in coastal Antarctica</t>
  </si>
  <si>
    <t>PALEOCEANOGRAPHY</t>
  </si>
  <si>
    <t>VI ICE SHELF; SOUTHERN-OCEAN; ELEMENTAL COMPOSITION; BIOGENIC SILICA; CLIMATE-CHANGE; PENINSULA; ZINC; WATER; SEA; SPECIATION</t>
  </si>
  <si>
    <t>[1] During the last 50 years, the Antarctic Peninsula has experienced rapid warming with associated retreat of 87% of marine and tidewater glacier fronts. Accelerated glacial retreat and iceberg calving may have a significant impact on the freshwater and nutrient supply to the phytoplankton communities of the highly productive coastal regions. However, commonly used biogenic carbonate proxies for nutrient and salinity conditions are not preserved in sediments from coastal Antarctica. Here we describe a method for the measurement of zinc to silicon ratios in diatom opal, (Zn/Si)(opal), which is a potential archive in Antarctic marine sediments. A core top calibration from the West Antarctic Peninsula shows (Zn/Si)(opal) is a proxy for mixed layer salinity. We present down-core(Zn/Si)(opal) paleosalinity records from two rapidly accumulating sites taken from nearshore environments off the West Antarctic Peninsula which show an increase in meltwater input in recent decades. Our records show that the recent melting in this region is unprecedented for over 120 years.</t>
  </si>
  <si>
    <t>[Hendry, Katharine R.; Rickaby, Rosalind E. M.] Univ Oxford, Dept Earth Sci, Oxford OX1 3PR, England</t>
  </si>
  <si>
    <t>University of Oxford</t>
  </si>
  <si>
    <t>Hendry, KR (corresponding author), Univ Oxford, Dept Earth Sci, Parks Rd, Oxford OX1 3PR, England.</t>
  </si>
  <si>
    <t>kathh@earth.ox.ac.uk</t>
  </si>
  <si>
    <t>; Hendry, Katharine/E-4793-2011</t>
  </si>
  <si>
    <t>Rickaby, Rosalind/0000-0002-6095-8419; Hendry, Katharine/0000-0002-0790-5895</t>
  </si>
  <si>
    <t>Natural Environment Research Council [NER/G/S/2002/00018] Funding Source: researchfish</t>
  </si>
  <si>
    <t>Natural Environment Research Council(UK Research &amp; Innovation (UKRI)Natural Environment Research Council (NERC))</t>
  </si>
  <si>
    <t>0883-8305</t>
  </si>
  <si>
    <t>1944-9186</t>
  </si>
  <si>
    <t>Paleoceanography</t>
  </si>
  <si>
    <t>PA2218</t>
  </si>
  <si>
    <t>10.1029/2007PA001576</t>
  </si>
  <si>
    <t>Geosciences, Multidisciplinary; Oceanography; Paleontology</t>
  </si>
  <si>
    <t>Geology; Oceanography; Paleontology</t>
  </si>
  <si>
    <t>317ZW</t>
  </si>
  <si>
    <t>Green Accepted, Bronze, Green Published</t>
  </si>
  <si>
    <t>WOS:000257060500001</t>
  </si>
  <si>
    <t>Finkelstein, M; Bakker, V; Doak, DF; Sullivan, B; Lewison, R; Satterthwaite, WH; McIntyre, PB; Wolf, S; Priddel, D; Arnold, JM; Henry, RW; Sievert, P; Croxall, J</t>
  </si>
  <si>
    <t>Finkelstein, Myra; Bakker, Victoria; Doak, Daniel F.; Sullivan, Ben; Lewison, Rebecca; Satterthwaite, William H.; McIntyre, Peter B.; Wolf, Shaye; Priddel, David; Arnold, Jennifer M.; Henry, Robert W.; Sievert, Paul; Croxall, John</t>
  </si>
  <si>
    <t>Evaluating the Potential Effectiveness of Compensatory Mitigation Strategies for Marine Bycatch</t>
  </si>
  <si>
    <t>PLOS ONE</t>
  </si>
  <si>
    <t>TURTLE EXCLUDER DEVICES; PUFFINUS-CARNEIPES; PELAGIC LONGLINES; FISHERIES BYCATCH; POPULATION-MODEL; SEABIRD BYCATCH; CIRCLE HOOKS; SEA-TURTLES; CONSERVATION; LOGGERHEAD</t>
  </si>
  <si>
    <t>Conservationists are continually seeking new strategies to reverse population declines and safeguard against species extinctions. Here we evaluate the potential efficacy of a recently proposed approach to offset a major anthropogenic threat to many marine vertebrates: incidental bycatch in commercial fisheries operations. This new approach, compensatory mitigation for marine bycatch (CMMB), is conceived as a way to replace or reduce mandated restrictions on fishing activities with compensatory activities (e. g., removal of introduced predators from islands) funded by levies placed on fishers. While efforts are underway to bring CMMB into policy discussions, to date there has not been a detailed evaluation of CMMB's potential as a conservation tool, and in particular, a list of necessary and sufficient criteria that CMMB must meet to be an effective conservation strategy. Here we present a list of criteria to assess CMMB that are tied to critical ecological aspects of the species targeted for conservation, the range of possible mitigation activities, and the multi-species impact of fisheries bycatch. We conclude that, overall, CMMB has little potential for benefit and a substantial potential for harm if implemented to solve most fisheries bycatch problems. In particular, CMMB is likely to be effective only when applied to short-lived and highly-fecund species (not the characteristics of most bycatch-impacted species) and to fisheries that take few non-target species, and especially few non-seabird species (not the characteristics of most fisheries). Thus, CMMB appears to have limited application and should only be implemented after rigorous appraisal on a case-specific basis; otherwise it has the potential to accelerate declines of marine species currently threatened by fisheries bycatch.</t>
  </si>
  <si>
    <t>[Finkelstein, Myra; Bakker, Victoria; Henry, Robert W.] Univ Calif Santa Cruz, Dept Ecol &amp; Evolutionary Biol, Santa Cruz, CA 95064 USA; [Doak, Daniel F.] Univ Wyoming, Dept Zool &amp; Physiol, Laramie, WY USA; [Sullivan, Ben] BirdLife Int Glob Seabird Programme, C Australian Antarctic Div, Kingston, Tas, Australia; [Lewison, Rebecca] San Diego State Univ, Biol Dept, San Diego, CA USA; [Satterthwaite, William H.] Univ Calif Santa Cruz, Appl Math &amp; Stat, Santa Cruz, CA USA; [McIntyre, Peter B.] Univ Michigan, Sch Nat Resources &amp; Env, Ann Arbor, MI USA; [Wolf, Shaye] Ctr Biol Diversity, San Francisco, CA USA; [Priddel, David] Dept Env &amp; Climate Change, Hurstville, NSW, Australia; [Arnold, Jennifer M.] Penn State Univ, Div Sci, Reading, PA USA; [Sievert, Paul] Univ Massachusetts Amherst, Massachusetts Cooperative Fish &amp; Wildlife Res Unit, US Geological Survey, Amherst, MA USA; [Croxall, John] BirdLife Int Glob Seabird Programme, Cambridge, England</t>
  </si>
  <si>
    <t>University of California System; University of California Santa Cruz; University of Wyoming; Australian Antarctic Division; BirdLife International; California State University System; San Diego State University; University of California System; University of California Santa Cruz; University of Michigan System; University of Michigan; Pennsylvania Commonwealth System of Higher Education (PCSHE); Pennsylvania State University; University of Massachusetts System; University of Massachusetts Amherst; BirdLife International</t>
  </si>
  <si>
    <t>Finkelstein, M (corresponding author), Univ Calif Santa Cruz, Dept Ecol &amp; Evolutionary Biol, Santa Cruz, CA 95064 USA.</t>
  </si>
  <si>
    <t>myraf@ucsc.edu</t>
  </si>
  <si>
    <t>Lewison, Rebecca L./0000-0003-3065-2926; McIntyre, Peter/0000-0003-1809-7552; Satterthwaite, William/0000-0002-0436-7390</t>
  </si>
  <si>
    <t>David H. Smith Conservation Research Fellowship</t>
  </si>
  <si>
    <t>M. Finkelstein, V. Bakker, and P.B. McIntyre were supported by the David H. Smith Conservation Research Fellowship.</t>
  </si>
  <si>
    <t>PUBLIC LIBRARY SCIENCE</t>
  </si>
  <si>
    <t>SAN FRANCISCO</t>
  </si>
  <si>
    <t>1160 BATTERY STREET, STE 100, SAN FRANCISCO, CA 94111 USA</t>
  </si>
  <si>
    <t>1932-6203</t>
  </si>
  <si>
    <t>PLoS One</t>
  </si>
  <si>
    <t>e2480</t>
  </si>
  <si>
    <t>10.1371/journal.pone.0002480</t>
  </si>
  <si>
    <t>406FP</t>
  </si>
  <si>
    <t>Green Published, gold</t>
  </si>
  <si>
    <t>WOS:000263280700051</t>
  </si>
  <si>
    <t>Young, DA; Kempf, SD; Blankenship, DD; Holt, JW; Morse, DL</t>
  </si>
  <si>
    <t>Young, Duncan A.; Kempf, Scott D.; Blankenship, Donald D.; Holt, John W.; Morse, David L.</t>
  </si>
  <si>
    <t>New airborne laser altimetry over the Thwaites Glacier catchment, West Antarctica</t>
  </si>
  <si>
    <t>Antarctica; airborne altimetry; digital elevation models; Thwaites Glacier; satellite altimetry</t>
  </si>
  <si>
    <t>SEA-LEVEL RISE; ICE-SHEET; GREENLAND; ACCURACY; TOPOGRAPHY; BALANCE</t>
  </si>
  <si>
    <t>A new airborne altimetry data set collected over Thwaites Glacier, one of Antarctica's most active ice streams, demonstrates the improvement in publicly available digital elevation models (DEMs) of the Antarctic ice sheet. The airborne altimetry comprises 35,000 line km sampled at 20 m along track. The full data set has a relative error of +/-20 cm; a reference subset has an error of +/-8 cm. These data are offset from ICESat observations by + 20 cm. We find that a recently released ICESat DEM provides a good model of the surface of Thwaites Glacier, despite cloud cover and wide track spacings. However, the ICESat DEM's accuracy is an order of magnitude less than that of the ICESat profile data. Our airborne data will serve as an additional temporal reference for the evolution of Thwaites Glacier's surface as well as aid the construction of future high-resolution DEMs.</t>
  </si>
  <si>
    <t>[Young, Duncan A.; Kempf, Scott D.; Blankenship, Donald D.; Holt, John W.; Morse, David L.] Univ Texas Austin, Inst Geophys, Jackson Sch Geosci, Austin, TX 78712 USA</t>
  </si>
  <si>
    <t>University of Texas System; University of Texas Austin</t>
  </si>
  <si>
    <t>Young, DA (corresponding author), Univ Texas Austin, Inst Geophys, Jackson Sch Geosci, Austin, TX 78712 USA.</t>
  </si>
  <si>
    <t>duncan@ig.utexas.edu</t>
  </si>
  <si>
    <t>Holt, John W/C-4896-2009; Blankenship, Donald D./G-5935-2010; Young, Duncan/G-6256-2010</t>
  </si>
  <si>
    <t>Young, Duncan/0000-0002-6866-8176</t>
  </si>
  <si>
    <t>JUN 17</t>
  </si>
  <si>
    <t>Q06006</t>
  </si>
  <si>
    <t>10.1029/2007GC001935</t>
  </si>
  <si>
    <t>317VP</t>
  </si>
  <si>
    <t>WOS:000257048700002</t>
  </si>
  <si>
    <t>Giraud, X; Le Quéré, C; da Cunha, LC</t>
  </si>
  <si>
    <t>Giraud, Xavier; Le Quere, Corinne; da Cunha, Leticia C.</t>
  </si>
  <si>
    <t>Importance of coastal nutrient supply for global ocean biogeochemistry</t>
  </si>
  <si>
    <t>GLOBAL BIOGEOCHEMICAL CYCLES</t>
  </si>
  <si>
    <t>CONTINENTAL-SHELF; ORGANIC-CARBON; SEDIMENT; MODEL; RESUSPENSION; ATLANTIC; EXCHANGE; VARIABILITY; GROUNDWATER; VALIDATION</t>
  </si>
  <si>
    <t>The coastal ocean provides nutrients to the open ocean in accounts that are poorly quantified. We use an ocean biogeochemistry model to assess the importance of the coastal nutrient supply to global ocean biogeochemistry. The model includes full cycles of P, Si, and Fe, as well as the representation of two phytoplankton groups, two zooplankton groups, and two organic detritus pools. When coastal mixing is enhanced to reproduce the action of tides and storms, primary production and chlorophyll-a (Chla) concentrations show a large increase at the coast and a smaller increase in the open ocean. When coastal nutrient supply is enhanced to reproduce sediment resuspension or river supply, both the coastal ocean and the open ocean primary production and Chla concentration increase in comparable amounts. In agreement with the definition of nutrient limitation areas in the model, coastal export of P-excess impacts mainly the subtropical oligotrophic areas, Si-excess impacts the Arctic Ocean and some coastal areas, and Fe-excess impacts the east equatorial Pacific, North Atlantic and North Pacific, and the Southern Ocean. Modeled Chla is closest to observations when the input ratio of Fe to P and Si is enhanced.</t>
  </si>
  <si>
    <t>[Giraud, Xavier; Le Quere, Corinne; da Cunha, Leticia C.] Max Planck Inst Biogeochem, Jena, Germany; [Le Quere, Corinne] British Antarctic Survey, Cambridge CB3 0ET, England</t>
  </si>
  <si>
    <t>Max Planck Society; UK Research &amp; Innovation (UKRI); Natural Environment Research Council (NERC); NERC British Antarctic Survey</t>
  </si>
  <si>
    <t>Giraud, X (corresponding author), Max Planck Inst Biogeochem, Jena, Germany.</t>
  </si>
  <si>
    <t>xgiraud@palmod.uni-bremen.de</t>
  </si>
  <si>
    <t>Cotrim da Cunha, Leticia/F-5732-2010; da Cunha, Leticia Cotrim/J-5153-2012; Le Quéré, Corinne/C-2631-2017</t>
  </si>
  <si>
    <t>Cotrim da Cunha, Leticia/0000-0001-8035-1430; Le Quéré, Corinne/0000-0003-2319-0452; GIRAUD, Xavier/0000-0001-5067-8176</t>
  </si>
  <si>
    <t>Natural Environment Research Council [bas010013] Funding Source: researchfish; NERC [bas010013] Funding Source: UKRI</t>
  </si>
  <si>
    <t>0886-6236</t>
  </si>
  <si>
    <t>1944-9224</t>
  </si>
  <si>
    <t>GLOBAL BIOGEOCHEM CY</t>
  </si>
  <si>
    <t>Glob. Biogeochem. Cycle</t>
  </si>
  <si>
    <t>GB2025</t>
  </si>
  <si>
    <t>10.1029/2006GB002717</t>
  </si>
  <si>
    <t>Environmental Sciences; Geosciences, Multidisciplinary; Meteorology &amp; Atmospheric Sciences</t>
  </si>
  <si>
    <t>Environmental Sciences &amp; Ecology; Geology; Meteorology &amp; Atmospheric Sciences</t>
  </si>
  <si>
    <t>317XJ</t>
  </si>
  <si>
    <t>WOS:000257053400001</t>
  </si>
  <si>
    <t>Gomez, G; Celii, A</t>
  </si>
  <si>
    <t>Gomez, George; Celii, Amanda</t>
  </si>
  <si>
    <t>The peripheral olfactory system of the domestic chicken: Physiology and development</t>
  </si>
  <si>
    <t>BRAIN RESEARCH BULLETIN</t>
  </si>
  <si>
    <t>Satellite Meeting of IBRO on Brain Mechanisms, Cognition and Behaviour in Birds</t>
  </si>
  <si>
    <t>JUL 19-23, 2007</t>
  </si>
  <si>
    <t>Heron Isl, AUSTRALIA</t>
  </si>
  <si>
    <t>bird; olfactory sensory neuron; olfactory bulb; neurogenesis; cell culture</t>
  </si>
  <si>
    <t>ANTARCTIC PROCELLARIIFORM SEABIRDS; NUCLEOTIDE-GATED CONDUCTANCE; LEUKEMIA INHIBITORY FACTOR; MESSENGER-RNA EXPRESSION; ODOR-INDUCED INCREASES; RECEPTOR NEURONS; MICE DEFICIENT; BULB NEURONS; SENSORY MAP; FUNCTIONAL-ORGANIZATION</t>
  </si>
  <si>
    <t>Olfaction is a ubiquitous sensory system found in all terrestrial vertebrates. Birds use olfaction for several important activities such as feeding and mating; thus, understanding bird biology would also require the systematic study olfaction. In addition, the olfactory system has several unique features that are useful for the study of nervous system function and development, including a large multigene family for olfactory receptor expression, peripheral neurons that regenerate, and a complex system for sensory innervation of the olfactory bulb. We focused on physiological, anatomical and behavioral approaches to study the chick olfactory neurons and the olfactory bulb. Chick olfactory neurons displayed some properties similar to those found in mature neurons of other vertebrate species, and other properties that were unique. Since information from these neurons is initially processed in the olfactory bulb, we also conducted preliminary studies on the developmental timeline of this structure and showed that glomerular structures are organized in ovo during a critical time period, during which embryonic chicks can form behavioral associations with odorants introduced in ovo. Lastly, we have shown that chick olfactory neurons can grow and mature in vitro, allowing their use in cell culture studies. These results collectively demonstrate some of the features of the olfactory system that are common to all vertebrates, and some that are unique to birds. These highlight the potential for the use of the physiology and development of the olfactory system as a model system for avian brain neurobiology. (C) 2008 Elsevier Inc. All rights reserved.</t>
  </si>
  <si>
    <t>[Gomez, George; Celii, Amanda] Univ Scranton, Dept Biol, Scranton, PA 18510 USA</t>
  </si>
  <si>
    <t>University of Scranton</t>
  </si>
  <si>
    <t>Gomez, G (corresponding author), Univ Scranton, Dept Biol, Loyola 118,800 Linden St, Scranton, PA 18510 USA.</t>
  </si>
  <si>
    <t>gomezg2@scranton.edu</t>
  </si>
  <si>
    <t>Gomez, George/0000-0002-0605-315X</t>
  </si>
  <si>
    <t>0361-9230</t>
  </si>
  <si>
    <t>1873-2747</t>
  </si>
  <si>
    <t>BRAIN RES BULL</t>
  </si>
  <si>
    <t>Brain Res. Bull.</t>
  </si>
  <si>
    <t>JUN 15</t>
  </si>
  <si>
    <t>10.1016/j.brainresbull.2008.02.018</t>
  </si>
  <si>
    <t>Neurosciences</t>
  </si>
  <si>
    <t>Neurosciences &amp; Neurology</t>
  </si>
  <si>
    <t>313EN</t>
  </si>
  <si>
    <t>WOS:000256724000006</t>
  </si>
  <si>
    <t>Plattner, GK; Knutti, R; Joos, F; Stocker, TF; von Bloh, W; Brovkin, V; Cameron, D; Driesschaert, E; Dutkiewicz, S; Eby, M; Edwards, NR; Fichefet, T; Hargreaves, JC; Jones, CD; Loutre, MF; Matthews, HD; Mouchet, A; Müller, SA; Nawrath, S; Price, A; Sokolov, A; Strassmann, KM; Weaver, AJ</t>
  </si>
  <si>
    <t>Plattner, G. -K.; Knutti, R.; Joos, F.; Stocker, T. F.; von Bloh, W.; Brovkin, V.; Cameron, D.; Driesschaert, E.; Dutkiewicz, S.; Eby, M.; Edwards, N. R.; Fichefet, T.; Hargreaves, J. C.; Jones, C. D.; Loutre, M. F.; Matthews, H. D.; Mouchet, A.; Mueller, S. A.; Nawrath, S.; Price, A.; Sokolov, A.; Strassmann, K. M.; Weaver, A. J.</t>
  </si>
  <si>
    <t>Long-term climate commitments projected with climate-carbon cycle models</t>
  </si>
  <si>
    <t>JOURNAL OF CLIMATE</t>
  </si>
  <si>
    <t>OCEAN-ATMOSPHERE MODEL; EARTH SYSTEM MODEL; INTERMEDIATE COMPLEXITY; SEA-ICE; THERMOHALINE CIRCULATION; ANTARCTIC ICE; CO2 INCREASE; SENSITIVITY; VEGETATION; EFFICIENT</t>
  </si>
  <si>
    <t>Eight earth system models of intermediate complexity (EMICs) are used to project climate change commitments for the recent Intergovernmental Panel on Climate Change's (IPCC's) Fourth Assessment Report (AR4). Simulations are run until the year 3000 A. D. and extend substantially farther into the future than conceptually similar simulations with atmosphere-ocean general circulation models (AOGCMs) coupled to carbon cycle models. In this paper the following are investigated: 1) the climate change commitment in response to stabilized greenhouse gases and stabilized total radiative forcing, 2) the climate change commitment in response to earlier CO2 emissions, and 3) emission trajectories for profiles leading to the stabilization of atmospheric CO2 and their uncertainties due to carbon cycle processes. Results over the twenty-first century compare reasonably well with results from AOGCMs, and the suite of EMICs proves well suited to complement more complex models. Substantial climate change commitments for sea level rise and global mean surface temperature increase after a stabilization of atmospheric greenhouse gases and radiative forcing in the year 2100 are identified. The additional warming by the year 3000 is 0.6-1.6 K for the low-CO2 IPCC Special Report on Emissions Scenarios (SRES) B1 scenario and 1.3-2.2 K for the high-CO2 SRES A2 scenario. Correspondingly, the post-2100 thermal expansion commitment is 0.3-1.1 m for SRES B1 and 0.5-2.2 m for SRES A2. Sea level continues to rise due to thermal expansion for several centuries after CO2 stabilization. In contrast, surface temperature changes slow down after a century. The meridional overturning circulation is weakened in all EMICs, but recovers to nearly initial values in all but one of the models after centuries for the scenarios considered. Emissions during the twenty-first century continue to impact atmospheric CO2 and climate even at year 3000. All models find that most of the anthropogenic carbon emissions are eventually taken up by the ocean (49%-62%) in year 3000, and that a substantial fraction (15%-28%) is still airborne even 900 yr after carbon emissions have ceased. Future stabilization of atmospheric CO2 and climate change requires a substantial reduction of CO2 emissions below present levels in all EMICs. This reduction needs to be substantially larger if carbon cycle-climate feedbacks are accounted for or if terrestrial CO2 fertilization is not operating. Large differences among EMICs are identified in both the response to increasing atmospheric CO2 and the response to climate change. This highlights the need for improved representations of carbon cycle processes in these models apart from the sensitivity to climate change. Sensitivity simulations with one single EMIC indicate that both carbon cycle and climate sensitivity related uncertainties on projected allowable emissions are substantial.</t>
  </si>
  <si>
    <t>[Plattner, G. -K.; Joos, F.; Stocker, T. F.; Mueller, S. A.; Strassmann, K. M.] Univ Bern, Inst Phys, Bern, Switzerland; [Knutti, R.] ETH, IAC, Zurich, Switzerland; [von Bloh, W.; Brovkin, V.; Nawrath, S.] Potsdam Inst Climate Impact Res, Potsdam, Germany; [Cameron, D.] Edinburgh Bush Estate, Penicuik, Midlothian, Scotland; [Driesschaert, E.; Fichefet, T.; Loutre, M. F.] Catholic Univ Louvain, B-3000 Louvain, Belgium; [Dutkiewicz, S.; Sokolov, A.] MIT, Cambridge, MA 02139 USA; [Eby, M.] Univ Victoria, Sch Earth &amp; Ocean Sci, Victoria, BC, Canada; [Edwards, N. R.] Open Univ, Milton Keynes MK7 6AA, Bucks, England; [Hargreaves, J. C.] Frontier Res Ctr Global Change, Kanagawa, Japan; [Jones, C. D.] Hadley Ctr, Met Off, Exeter, Devon, England; [Matthews, H. D.] Concordia Univ, Montreal, PQ, Canada; [Mouchet, A.] Univ Liege, Astrophys &amp; Geophys Inst, Liege, Belgium; [Price, A.] Univ Southampton, Southampton Reg E Sci Ctr, Southampton, Hants, England</t>
  </si>
  <si>
    <t>University of Bern; Swiss Federal Institutes of Technology Domain; ETH Zurich; Potsdam Institut fur Klimafolgenforschung; University of Edinburgh; Universite Catholique Louvain; Massachusetts Institute of Technology (MIT); University of Victoria; Open University - UK; Japan Agency for Marine-Earth Science &amp; Technology (JAMSTEC); Met Office - UK; Hadley Centre; Concordia University - Canada; University of Liege; University of Southampton</t>
  </si>
  <si>
    <t>Plattner, GK (corresponding author), ETH, Inst Biogeochem &amp; Pollutant Dynam, Univ Str 16, CH-8092 Zurich, Switzerland.</t>
  </si>
  <si>
    <t>gian-kasper.plattner@env.ethz.ch</t>
  </si>
  <si>
    <t>Matthews, Damon/A-8965-2008; Stocker, Thomas F/B-1273-2013; Sokolov, Andrei/JJF-8545-2023; Plattner, Gian-Kasper/A-5245-2016; /AAD-2430-2020; Jones, Chris/I-2983-2014; Weaver, Andrew J/E-7590-2011; Knutti, Reto/B-8763-2008; Joos, Fortunat/B-4118-2018; Brovkin, Victor/C-2803-2016; Brovkin, Victor/I-7450-2012; Eby, Michael/H-5278-2013; Loutre, Marie-France/L-3594-2018; Mouchet, Anne/K-1911-2014</t>
  </si>
  <si>
    <t>Plattner, Gian-Kasper/0000-0002-3765-0045; /0000-0003-3625-390X; Jones, Chris/0000-0002-7141-9285; Weaver, Andrew J/0000-0001-8919-3598; Knutti, Reto/0000-0001-8303-6700; Joos, Fortunat/0000-0002-9483-6030; Brovkin, Victor/0000-0001-6420-3198; Loutre, Marie-France/0000-0001-6944-4038; Hargreaves, Julia/0000-0002-4217-5023; Mouchet, Anne/0000-0002-8846-3063</t>
  </si>
  <si>
    <t>NERC [NE/C515904/1] Funding Source: UKRI; Natural Environment Research Council [NE/C515904/1] Funding Source: researchfish</t>
  </si>
  <si>
    <t>AMER METEOROLOGICAL SOC</t>
  </si>
  <si>
    <t>BOSTON</t>
  </si>
  <si>
    <t>45 BEACON ST, BOSTON, MA 02108-3693, UNITED STATES</t>
  </si>
  <si>
    <t>0894-8755</t>
  </si>
  <si>
    <t>1520-0442</t>
  </si>
  <si>
    <t>J CLIMATE</t>
  </si>
  <si>
    <t>J. Clim.</t>
  </si>
  <si>
    <t>10.1175/2007JCLI1905.1</t>
  </si>
  <si>
    <t>320PG</t>
  </si>
  <si>
    <t>Green Published, Green Accepted</t>
  </si>
  <si>
    <t>WOS:000257246700001</t>
  </si>
  <si>
    <t>Sallée, JB; Speer, K; Morrow, R</t>
  </si>
  <si>
    <t>Sallee, J. B.; Speer, K.; Morrow, R.</t>
  </si>
  <si>
    <t>Response of the Antarctic Circumpolar Current to atmospheric variability</t>
  </si>
  <si>
    <t>GRAVEST EMPIRICAL MODE; SEA-LEVEL VARIABILITY; SOUTHERN-OCEAN FRONTS; INDIAN SECTOR; DRAKE PASSAGE; MOMENTUM FLUX; POLAR FRONT; WIND-DRIVEN; CIRCULATION; ALTIMETER</t>
  </si>
  <si>
    <t>Historical hydrographic profiles, combined with recent Argo profiles, are used to obtain an estimate of the mean geostrophic circulation in the Southern Ocean. Thirteen years of altimetric sea level anomaly data are then added to reconstruct the time variable sea level, and this new dataset is analyzed to identify and monitor the position of the two main fronts of the Antarctic Circumpolar Current (ACC) during the period 1993-2005. The authors relate their movements to the two main atmospheric climate modes of the Southern Hemisphere: the Southern Annular Mode (SAM) and the El Nino-Southern Oscillation (ENSO). The study finds that although the fronts are steered by the bathymetry, which sets their mean pathway on first order, in flat-bottom areas the fronts are subject to large meandering because of mesoscale activity and atmospheric forcing. While the dominant mode of atmospheric variability in the Southern Hemisphere, SAM, is relatively symmetric, the oceanic response of the fronts is not, showing substantial regional differences. Around the circumpolar belt the fronts vary in latitude, exposing them to different Ekman transport anomalies induced by the SAM. Three typical scenarios occur in response to atmospheric forcing: poleward movement of the frontal structure in the Indian Basin during positive SAM events, an equator-ward movement in the central Pacific, and an intensification without substantial meridional movement in the Indo-Pacific basin. The study also shows the geographical regions that are dominated by a SAM or ENSO response at low and high frequencies.</t>
  </si>
  <si>
    <t>[Sallee, J. B.; Morrow, R.] LEGOS, F-31400 Toulouse, France; [Speer, K.] Florida State Univ, Dept Oceanog, Tallahassee, FL 32306 USA</t>
  </si>
  <si>
    <t>Universite de Toulouse; Universite Toulouse III - Paul Sabatier; Centre National de la Recherche Scientifique (CNRS); Institut de Recherche pour le Developpement (IRD); Laboratoire d'Etudes en Geophysique et oceanographie spatiales; State University System of Florida; Florida State University</t>
  </si>
  <si>
    <t>Sallée, JB (corresponding author), LEGOS, 14 Ave Edouard Belin, F-31400 Toulouse, France.</t>
  </si>
  <si>
    <t>sallee@legos.cnes.fr</t>
  </si>
  <si>
    <t>SALLEE, Jean baptiste/HDO-5355-2022; SALLEE, Jean baptiste/A-5837-2010</t>
  </si>
  <si>
    <t>SALLEE, Jean baptiste/0000-0002-6109-5176</t>
  </si>
  <si>
    <t>45 BEACON ST, BOSTON, MA 02108-3693 USA</t>
  </si>
  <si>
    <t>10.1175/2007JCLI1702.1</t>
  </si>
  <si>
    <t>WOS:000257246700018</t>
  </si>
  <si>
    <t>Jochum, M; Danabasoglu, G; Holland, M; Kwon, YO; Large, WG</t>
  </si>
  <si>
    <t>Jochum, M.; Danabasoglu, G.; Holland, M.; Kwon, Y. -O.; Large, W. G.</t>
  </si>
  <si>
    <t>Ocean viscosity and climate</t>
  </si>
  <si>
    <t>EQUATORIAL PACIFIC-OCEAN; SEA-SURFACE TEMPERATURE; ANISOTROPIC HORIZONTAL VISCOSITY; ANTARCTIC CIRCUMPOLAR CURRENT; TROPICAL INSTABILITY WAVES; GENERAL-CIRCULATION MODELS; VOLUME TRANSPORT; ATLANTIC-OCEAN; NORTH-ATLANTIC; SYSTEM MODEL</t>
  </si>
  <si>
    <t>The impacts of parameterized lateral ocean viscosity on climate are explored using three 120-year integrations of a fully coupled climate model. Reducing viscosity leads to a generally improved ocean circulation at the expense of increased numerical noise. Five domains are discussed in detail: the equatorial Pacific, where the emergence of tropical instability waves reduces the cold tongue bias; the Southern Ocean, where the Antarctic Circumpolar Current increases its kinetic energy but reduces its transport; the Arctic Ocean, where an improved representation of the Atlantic inflow leads to a better sea-ice distribution; the North Pacific, where the more realistic path of the Kuroshio leads to more realistic temperatures across the midlatitude Pacific; and the northern marginal seas, where stronger boundary currents lead to significantly less sea-ice. Although the ocean circulation and sea-ice distribution improve, the oceanic heat uptake, the poleward heat transport, and the large scale atmospheric circulation are not changed significantly. In particular, the improvements to the equatorial cold tongue did not lead to better representation of tropical precipitation or El Nino.</t>
  </si>
  <si>
    <t>[Jochum, M.; Danabasoglu, G.; Holland, M.; Kwon, Y. -O.; Large, W. G.] Natl Ctr Atmospher Res, Oceanog Sect, Boulder, CO 80305 USA</t>
  </si>
  <si>
    <t>National Center Atmospheric Research (NCAR) - USA</t>
  </si>
  <si>
    <t>Jochum, M (corresponding author), Natl Ctr Atmospher Res, Oceanog Sect, 1850 Table Mesa Dr, Boulder, CO 80305 USA.</t>
  </si>
  <si>
    <t>markus@ucar.edu</t>
  </si>
  <si>
    <t>jochum, markus/F-8237-2013; jochum, markus/C-2960-2015; Kwon, Young-Oh/C-2190-2008; jochum, markus/AAQ-7967-2020</t>
  </si>
  <si>
    <t>jochum, markus/0000-0003-2690-3139; Kwon, Young-Oh/0000-0002-1241-2817; jochum, markus/0000-0003-2690-3139; Holland, Marika/0000-0001-5621-8939; Danabasoglu, Gokhan/0000-0003-4676-2732</t>
  </si>
  <si>
    <t>JUN 14</t>
  </si>
  <si>
    <t>C06017</t>
  </si>
  <si>
    <t>10.1029/2007JC004515</t>
  </si>
  <si>
    <t>314MH</t>
  </si>
  <si>
    <t>WOS:000256813000003</t>
  </si>
  <si>
    <t>Dong, S; Sprintall, J; Gille, ST; Talley, L</t>
  </si>
  <si>
    <t>Dong, Shenfu; Sprintall, Janet; Gille, Sarah T.; Talley, Lynne</t>
  </si>
  <si>
    <t>Southern Ocean mixed-layer depth from Argo float profiles</t>
  </si>
  <si>
    <t>ANTARCTIC POLAR FRONT; HEAT-BUDGET; CIRCUMPOLAR CURRENT; INDIAN-OCEAN; MODE WATER; INTERMEDIATE; CIRCULATION; ATLANTIC; MIDLATITUDES; VARIABILITY</t>
  </si>
  <si>
    <t>Argo float profiles of temperature, salinity, and pressure are used to derive the mixed-layer depth (MLD) in the Southern Ocean. MLD is determined from individual profiles using both potential density and potential temperature criteria, and a monthly climatology is derived from individual MLDs using an objective mapping method. Quantitative data are available in the auxiliary material. The spatial structures of MLDs are similar in each month, with deep mixed layers within and just north of the Antarctic Circumpolar Current (ACC) in the Pacific and Indian oceans. The deepest mixed layers are found from June to October and are located just north of the ACC where Antarctic Intermediate Water (AAIW) and Subantarctic Mode Water ( SAMW) are formed. Examination of individual MLDs indicates that deep mixed layers ( MLD &gt;= 400 m) from both the density and temperature criteria are concentrated in a narrow surface density band which is within the density range of SAMW. The surface salinity for these deep mixed layers associated with the SAMW formation are slightly fresher compared to historical estimates. Differences in air-sea heat exchanges, wind stress, and wind stress curl in the Pacific and Indian oceans suggest that the mode water formation in each ocean basin may be preconditioned by different processes. Wind mixing and Ekman transport of cold water from the south may assist the SAMW formation in the Indian Ocean. In the eastern Pacific, the formation of mode water is potentially preconditioned by the relative strong cooling and weak stratification from upwelling.</t>
  </si>
  <si>
    <t>[Dong, Shenfu] Univ Miami, CIMAS RSMAS, Miami, FL 33149 USA; [Sprintall, Janet; Gille, Sarah T.; Talley, Lynne] Univ Calif San Diego, Scripps Inst Oceanog, La Jolla, CA 92093 USA</t>
  </si>
  <si>
    <t>University of Miami; University of California System; University of California San Diego; Scripps Institution of Oceanography</t>
  </si>
  <si>
    <t>Dong, S (corresponding author), Univ Miami, CIMAS RSMAS, 4600 Rickenbacker Causeway, Miami, FL 33149 USA.</t>
  </si>
  <si>
    <t>shenfu.dong@noaa.gov</t>
  </si>
  <si>
    <t>Gille, Sarah T./B-3171-2012; Dong, Shenfu/I-4435-2013</t>
  </si>
  <si>
    <t>Dong, Shenfu/0000-0001-8247-8072; Gille, Sarah/0000-0001-9144-4368; Talley, Lynne/0000-0003-1574-729X</t>
  </si>
  <si>
    <t>JUN 13</t>
  </si>
  <si>
    <t>C06013</t>
  </si>
  <si>
    <t>10.1029/2006JC004051</t>
  </si>
  <si>
    <t>314MG</t>
  </si>
  <si>
    <t>WOS:000256812900001</t>
  </si>
  <si>
    <t>Meredith, NP; Horne, RB; Anderson, RR</t>
  </si>
  <si>
    <t>Meredith, Nigel P.; Horne, Richard B.; Anderson, Roger R.</t>
  </si>
  <si>
    <t>Survey of magnetosonic waves and proton ring distributions in the Earth's inner magnetosphere</t>
  </si>
  <si>
    <t>JOURNAL OF GEOPHYSICAL RESEARCH-SPACE PHYSICS</t>
  </si>
  <si>
    <t>WHISTLER-MODE CHORUS; TERRESTRIAL MYRIAMETRIC RADIATION; DRIVEN ELECTRON ACCELERATION; OUTER-ZONE ELECTRONS; EQUATORIAL NOISE; RELATIVISTIC ENERGIES; RESONANT DIFFUSION; MAGNETIC EQUATOR; ENERGETIC IONS; SOLAR-CYCLE</t>
  </si>
  <si>
    <t>Fast magnetosonic waves can lead to the local acceleration of electrons from similar to 10 keV up to a few MeV on a timescale of 1-2 d and may play an important role in radiation belt dynamics. Here we present a survey of wave and particle data from the Combined Release and Radiation Effects Satellite (CRRES) to determine the global morphology of the waves as a function of magnetic activity, and to investigate the role of proton rings as a potential source mechanism. The intensity of fast magnetosonic waves in the frequency range 0.5 f(LHR) &lt; f &lt; f(LHR) increases with increasing magnetic activity suggesting they are related to periods of enhanced convection and/or substorm activity. They are observed at most magnetic local times (MLT) outside the plasmapause but are restricted to the dusk sector inside the plasmapause. The MLT distribution of low energy proton rings (E-R &lt; 30 keV) with energies exceeding the Alfven energy (E-R &gt; E-A) required for instability closely matches the distribution of magnetosonic waves on the dusk side, both inside and outside the plasmapause, suggesting that low energy proton rings are a likely source of energy driving the waves. However, intense magnetosonic waves are also observed outside the plasmapause on the dawn-side that do not satisfy (E-R &gt; E-A). Although proton rings with E-R &gt; 30 keV could drive the instabilities, the source of these waves is yet to be properly identified. Since fast magnetosonic waves can accelerate electrons we suggest that they may provide a significant energy transfer process between the ring current and the outer electron radiation belt.</t>
  </si>
  <si>
    <t>[Meredith, Nigel P.; Horne, Richard B.] British Antarctic Survey, NERC, Cambridge CB3 0ET, England; [Anderson, Roger R.] Univ Iowa, Dept Phys &amp; Astron, Iowa City, IA 52242 USA</t>
  </si>
  <si>
    <t>UK Research &amp; Innovation (UKRI); Natural Environment Research Council (NERC); NERC British Antarctic Survey; University of Iowa</t>
  </si>
  <si>
    <t>Meredith, NP (corresponding author), British Antarctic Survey, NERC, Madingley Rd, Cambridge CB3 0ET, England.</t>
  </si>
  <si>
    <t>nmer@bas.ac.uk; r.horne@bas.ac.uk; roger-r-anderson@uiowa.edu</t>
  </si>
  <si>
    <t>Horne, Richard B/U-3764-2019; Meredith, Nigel P/C-5806-2018</t>
  </si>
  <si>
    <t>Horne, Richard B/0000-0002-0412-6407; Meredith, Nigel/0000-0001-5032-3463</t>
  </si>
  <si>
    <t>NERC [bas010022] Funding Source: UKRI; Natural Environment Research Council [bas010022] Funding Source: researchfish</t>
  </si>
  <si>
    <t>2169-9380</t>
  </si>
  <si>
    <t>2169-9402</t>
  </si>
  <si>
    <t>J GEOPHYS RES-SPACE</t>
  </si>
  <si>
    <t>J. Geophys. Res-Space Phys.</t>
  </si>
  <si>
    <t>JUN 12</t>
  </si>
  <si>
    <t>A6</t>
  </si>
  <si>
    <t>A06213</t>
  </si>
  <si>
    <t>10.1029/2007JA012975</t>
  </si>
  <si>
    <t>Astronomy &amp; Astrophysics</t>
  </si>
  <si>
    <t>314MY</t>
  </si>
  <si>
    <t>WOS:000256814700004</t>
  </si>
  <si>
    <t>Sidor, CA; Miller, MF; Isbell, JL</t>
  </si>
  <si>
    <t>Sidor, Christian A.; Miller, Molly F.; Isbell, John L.</t>
  </si>
  <si>
    <t>Tetrapod burrows from the Triassic of Antarctica</t>
  </si>
  <si>
    <t>JOURNAL OF VERTEBRATE PALEONTOLOGY</t>
  </si>
  <si>
    <t>CENTRAL TRANSANTARCTIC MOUNTAINS; SOUTH-AFRICA; KAROO-BASIN; BEAUFORT-GROUP; SEDIMENTARY ENVIRONMENTS; EARLIEST EVIDENCE; BOUNDARY; STRATIGRAPHY; CYNODONT; REPTILE</t>
  </si>
  <si>
    <t>Two new tetrapod trace fossil records from the Triassic of Antarctica are described. The first is a giant terminal chamber collected from the lower Fremouw Formation (Lower Triassic) at Wahl Glacier (Beardmore Glacier region, central Transantarctic Mountains). Comparison to South African burrows known to contain the cynodont Thrinaxodon liorhinus, suggests that the Antarctic fossil was created by a tetrapod of similar size. The second set of tetrapod burrow casts was collected from Member 'A' of the Lashly Formation (lower Middle Triassic) and, if correctly interpreted, represent the first evidence of tetrapods from the Middle Triassic of Victoria Land. Our findings demonstrate that tetrapods were present in Victoria Land during the Middle Triassic, despite not being recovered as body fossils until the Upper Triassic in that region. Comparison to morphologically similar South African trace fossils suggests that procolophonids might have produced the Antarctic burrows, but this attribution is necessarily speculative because burrow inhabitants have not been found in situ and no morphological feature uniquely ties procolophonids to this type of trace fossil. We propose that underground burrows and dens were important shelters for Antarctic terrestrial vertebrates during the Triassic, despite a relatively moderate climate.</t>
  </si>
  <si>
    <t>[Sidor, Christian A.] Univ Washington, Burke Museum, Seattle, WA 98195 USA; [Sidor, Christian A.] Univ Washington, Dept Biol, Seattle, WA 98195 USA; [Miller, Molly F.] Vanderbilt Univ, Dept Earth &amp; Environm Sci, Nashville, TN 37325 USA; [Isbell, John L.] Univ Wisconsin, Dept Geosci, Milwaukee, WI 53201 USA</t>
  </si>
  <si>
    <t>University of Washington; University of Washington Seattle; University of Washington; University of Washington Seattle; Vanderbilt University; University of Wisconsin System; University of Wisconsin Milwaukee</t>
  </si>
  <si>
    <t>Sidor, CA (corresponding author), Univ Washington, Burke Museum, Seattle, WA 98195 USA.</t>
  </si>
  <si>
    <t>casidor@u.washington.edu; molly.f.miller@vanderbilt.edu; jisbell@uwm.edu</t>
  </si>
  <si>
    <t>SOC VERTEBRATE PALEONTOLOGY</t>
  </si>
  <si>
    <t>NORTHBROOK</t>
  </si>
  <si>
    <t>60 REVERE DR, STE 500, NORTHBROOK, IL 60062 USA</t>
  </si>
  <si>
    <t>0272-4634</t>
  </si>
  <si>
    <t>J VERTEBR PALEONTOL</t>
  </si>
  <si>
    <t>J. Vertebr. Paleontol.</t>
  </si>
  <si>
    <t>10.1671/0272-4634(2008)28[277:TBFTTO]2.0.CO;2</t>
  </si>
  <si>
    <t>313RX</t>
  </si>
  <si>
    <t>WOS:000256758800001</t>
  </si>
  <si>
    <t>Li, J; Song, GQ; Chen, KS; Li, GY</t>
  </si>
  <si>
    <t>Li Jiang; Song Guo-Qiang; Chen Kao-Shan; Li Guang-You</t>
  </si>
  <si>
    <t>Separation, purification and structure analysis of an extracellular polysaccharides from Antarctic bacterium Pseudoalteromonas sp s-15-13</t>
  </si>
  <si>
    <t>CHEMICAL JOURNAL OF CHINESE UNIVERSITIES-CHINESE</t>
  </si>
  <si>
    <t>Chinese</t>
  </si>
  <si>
    <t>extracelluar polysaccharide; antarctic bacterium; Pseudoalteronwnas sp S-15-13; separation and purification</t>
  </si>
  <si>
    <t>An immunoactive extracelluar polysaccharide was isolated from Pseudoalteromonas sp. S-15-13, a bacterium screened from Antarctic sea-ice. In order to accurately define the structure of the Antarctic bacterial EPSs and to relate these findings to the function of these molecules in the natural environment, purification and structural analysis of S-15-13 EPSs was carried out. Exopolysaccharide fractions were extracted and were purified by DEAE-Sephadex A-50 ion-exchange and Sephadex G-100 gel chromatography to give EPS-II. The EPS-II was eluted as a single peak in HPLC analysis, indicating that the homogeneity and purity of EPS-II were suited to the structural analysis. The molecular weight of the EPS-II was determined as 62000 by the HPLC method. Sugar composition analysis, methylation analysis and one-dimensional and two-dimensional NMR spectroscopies reveal that the main structure of EPS-II was a 1 2 linking mannan with fewer 1 2, 6-linking branch, a new extracelluar polysaccharide from Antarctic bacterium.</t>
  </si>
  <si>
    <t>[Li Jiang; Chen Kao-Shan; Li Guang-You] State Ocean Adm, Inst Oceanog 1, Key Lab Marine Bioactive Subst, Qingdao 266061, Peoples R China; [Song Guo-Qiang] Chinese Acad Sci, Shanghai Inst Materia Med, Shanghai 201203, Peoples R China; [Chen Kao-Shan] Shandong Univ, Coll Life Sci, Jinan 250100, Peoples R China</t>
  </si>
  <si>
    <t>First Institute of Oceanography, Ministry of Natural Resources; Chinese Academy of Sciences; Shanghai Institute of Materia Medica, CAS; Shandong University</t>
  </si>
  <si>
    <t>Li, J (corresponding author), State Ocean Adm, Inst Oceanog 1, Key Lab Marine Bioactive Subst, Qingdao 266061, Peoples R China.</t>
  </si>
  <si>
    <t>lijiang2565@126.com</t>
  </si>
  <si>
    <t>HIGHER EDUCATION PRESS</t>
  </si>
  <si>
    <t>SHATANHOU ST 55, BEIJING 100009, PEOPLES R CHINA</t>
  </si>
  <si>
    <t>0251-0790</t>
  </si>
  <si>
    <t>CHEM J CHINESE U</t>
  </si>
  <si>
    <t>Chem. J. Chin. Univ.-Chin.</t>
  </si>
  <si>
    <t>JUN 10</t>
  </si>
  <si>
    <t>Chemistry, Multidisciplinary</t>
  </si>
  <si>
    <t>Chemistry</t>
  </si>
  <si>
    <t>319PO</t>
  </si>
  <si>
    <t>WOS:000257176300017</t>
  </si>
  <si>
    <t>Chi, SM; Wang, N; Ma, LY; Fang, F; Tian, GC; Li, GB; Xu, SC</t>
  </si>
  <si>
    <t>Chi Shao-Ming; Wang Ning; Ma Li-Ying; Fang Fang; Tian Guo-Cai; Li Guo-Bao; Xu Si-Chuan</t>
  </si>
  <si>
    <t>Potential energy surfaces and potential energy well of reaction NO3-+Cl2→ClONO2 plus Cl-</t>
  </si>
  <si>
    <t>chlorine nitrate; potential energy surface; potential energy well; potential well compound; chemical dynamics</t>
  </si>
  <si>
    <t>CHLORINE NITRATE; HYDROGEN-CHLORIDE; ANTARCTIC OZONE; STRATOSPHERIC CHEMISTRY; HETEROGENEOUS REACTIONS; WATER CLUSTERS; ICE; CLONO2; HCL; GLYCINE</t>
  </si>
  <si>
    <t>The reaction potential surfaces (PESes) for the ion-molecule reaction of NO3- + Cl-2 -&gt; ClONO2 + Cl- were calculated at the B3LYP/6-311 + G(d) level in the mode of three dimensions. Three original three-dimensional PESes prove that in the reaction there are no transition state and energy barrier, but there exists a potential energy well. The depth of the potential energy well is -55.0 kJ/mol (relative to NO3- and Cl-2 completely be separated) calculated with CCSD(T)/6-311 + G(d)//B3LYP/6-311 + G(d). At the bottom of the well, there is a compound called Potential Well Compound(PWC), existing stably with the help of the well. The calculated theoretical infrared spectra predict that the PWC would be examined in low temperature infrared spectra. Our work shows that at low temperatures( similar to 180 K) the reaction is dominated by its thermal dynamics. When the temperature going up, the PWC decomposes through reaction of( O-2 NOClCl)(-) -&gt; NO3- + Cl-2, dominated by its chemical dynamics. Our study indicates that ClONO2 with Cl- cannot produce Cl-2 at low temperatures in the gas-phase reaction.</t>
  </si>
  <si>
    <t>[Chi Shao-Ming; Wang Ning; Ma Li-Ying; Xu Si-Chuan] Yunnan Univ, Coll Chem Sci &amp; Technol, Key Lab Med Chem Nat Resource Educ Minist, Lab Origin Life, Kunming 650091, Peoples R China; [Chi Shao-Ming; Fang Fang; Tian Guo-Cai; Li Guo-Bao] Yunan Normal Univ, Coll Chem &amp; Chem Engn, Kunming 650092, Peoples R China</t>
  </si>
  <si>
    <t>Yunnan University; Yunnan Normal University</t>
  </si>
  <si>
    <t>Xu, SC (corresponding author), Yunnan Univ, Coll Chem Sci &amp; Technol, Key Lab Med Chem Nat Resource Educ Minist, Lab Origin Life, Kunming 650091, Peoples R China.</t>
  </si>
  <si>
    <t>sichuan@ynu.edu.cn</t>
  </si>
  <si>
    <t>Tian, Guocai/GNW-2702-2022; Tian, Guocai/JKH-7664-2023</t>
  </si>
  <si>
    <t>Tian, Guocai/0000-0002-0913-6903</t>
  </si>
  <si>
    <t>NO 4 DEWAI DAJIE, BEIJING 100120, PEOPLES R CHINA</t>
  </si>
  <si>
    <t>WOS:000257176300034</t>
  </si>
  <si>
    <t>McDonald, AJ; Hertzog, A</t>
  </si>
  <si>
    <t>McDonald, A. J.; Hertzog, A.</t>
  </si>
  <si>
    <t>Comparison of stratospheric measurements made by CHAMP radio occultation and Strateole/Vorcore in situ data</t>
  </si>
  <si>
    <t>LONG-DURATION; GPS OCCULTATION; BALLOONS; DYNAMICS</t>
  </si>
  <si>
    <t>This paper compares measurements in the Antarctic stratosphere during austral spring and summer made by the CHAMP radio-occultation satellite and in situ long-duration super-pressure balloon (SPB) observations during the Strateole/Vorcore campaign. Initial analysis compares near-simultaneous and co-located temperature observations made by these instruments and finds excellent agreement between these two very different sets of measurements. The mean bias between the data sets is -0.52 K, CHAMP RO temperature being cooler than the balloon measurements, and the standard deviation of the temperature differences is 1.6 K for the paired observations. This paired data set also allows us to show that an empirical correction used to remove the influence of radiative heating on the balloon sensors does not produce any bias. An initial comparison of the magnitude of gravity wave activity observed by each instrument shows relatively poor agreement. Analysis suggests that this agreement can be improved slightly by accounting for the observational filtering associated with the CHAMP measurements.</t>
  </si>
  <si>
    <t>[McDonald, A. J.] Univ Canterbury, Dept Phys &amp; Astron, Christchurch 1, New Zealand; [Hertzog, A.] Univ Paris 06, UPMC, Ecole Polytech, Meteorol Dynam Lab, Palaiseau, France</t>
  </si>
  <si>
    <t>University of Canterbury; Sorbonne Universite; Institut Polytechnique de Paris</t>
  </si>
  <si>
    <t>McDonald, AJ (corresponding author), Univ Canterbury, Dept Phys &amp; Astron, Christchurch 1, New Zealand.</t>
  </si>
  <si>
    <t>adrian.mcdonald@canterbury.ac.nz</t>
  </si>
  <si>
    <t>Hertzog, Albert/A-2899-2012</t>
  </si>
  <si>
    <t>McDonald, Adrian/0000-0002-1456-6254</t>
  </si>
  <si>
    <t>L11805</t>
  </si>
  <si>
    <t>10.1029/2008GL033338</t>
  </si>
  <si>
    <t>314KS</t>
  </si>
  <si>
    <t>WOS:000256808900001</t>
  </si>
  <si>
    <t>Jaross, G; Warner, J</t>
  </si>
  <si>
    <t>Jaross, G.; Warner, J.</t>
  </si>
  <si>
    <t>Use of Antarctica for validating reflected solar radiation measured by satellite sensors</t>
  </si>
  <si>
    <t>BIDIRECTIONAL REFLECTANCE; CLOUD PROPERTIES; SNOW SURFACE; SOUTH-POLE; ULTRAVIOLET; INSTRUMENT; AEROSOL; PLATEAU; MCMURDO; SOOT</t>
  </si>
  <si>
    <t>A technique is presented for validating Sun-normalized radiances measured by polar orbiting sensors over Antarctica in the wavelength range 330 -800 nm using model calculations for top of the atmosphere reflectances. An important input to these calculations is a model for the reflective properties of the snow surface, especially its directional nature. Details of this model are presented. Evaluations of the radiance calculations using OMI/Aura, MODIS/Aqua, and MISR/Terra data suggest that the surface representation is the largest source of uncertainty, representing +/- 1% in radiance at solar zenith angles less than 70 degrees. Radiometric evaluations for limited wavelengths of MODIS, TOMS/Earth Probe, and OMI indicate that the first two are accurate to within the +/- 2% uncertainties in the technique. The OMI reflectances are lower than predictions by 2.5% to 8%, the smallest difference being near the nadir view and the largest at far off-nadir view angles. A time series of Antarctic 360 nm radiances measured by OMI from launch until 2007 is consistent with no change in sensor response in excess of 1%.</t>
  </si>
  <si>
    <t>[Jaross, G.; Warner, J.] Sci Syst &amp; Applicat Inc, Lanham, MD 20706 USA</t>
  </si>
  <si>
    <t>Science Systems and Applications Inc</t>
  </si>
  <si>
    <t>Jaross, G (corresponding author), Sci Syst &amp; Applicat Inc, Lanham, MD 20706 USA.</t>
  </si>
  <si>
    <t>glen.jaross@nasa.gov</t>
  </si>
  <si>
    <t>D16</t>
  </si>
  <si>
    <t>D16S34</t>
  </si>
  <si>
    <t>10.1029/2007JD008835</t>
  </si>
  <si>
    <t>314LW</t>
  </si>
  <si>
    <t>WOS:000256811900002</t>
  </si>
  <si>
    <t>Murata, A; Kumamoto, Y; Sasaki, K; Watanabe, S; Fukasawa, M</t>
  </si>
  <si>
    <t>Murata, Akihiko; Kumamoto, Yuichiro; Sasaki, Ken'ichi; Watanabe, Shuichi; Fukasawa, Masao</t>
  </si>
  <si>
    <t>Decadal increases of anthropogenic CO2 in the subtropical South Atlantic Ocean along 30°S</t>
  </si>
  <si>
    <t>APPARENT OXYGEN UTILIZATION; DISSOLVED INORGANIC CARBON; NORTH-ATLANTIC; GREENLAND SEA; WATER; PACIFIC; PCO(2); MODE; FLUX; DISTRIBUTIONS</t>
  </si>
  <si>
    <t>Using high-quality data for dissolved inorganic carbon and related properties obtained about 10 years apart (1992/1993-2003), we examined decadal increases of anthropogenic CO2 (Delta nC(T)(CAL)) along 30 degrees S (WHP A10 section) in the subtropical South Atlantic. Significant Delta nC(T)(CAL) was detectable down to an isopycnal surface of sigma(theta) = 27.3 (similar to 1000 m water depth). Averaged Delta nC(T)(CAL) in Sub-Antarctic Mode Water (SAMW; 26.6-27.0 sigma(theta), 350-700 m) was 6.8 +/- 1.6 mu mol kg(-1) and that in Antarctic Intermediate Water (AAIW; 27.1-27.4 sigma(theta), 700-1200 m) was 3.6 +/- 1.4 mu mol kg(-1). In SAMW, Delta nC(T)(CAL) was higher by similar to 7 mu mol kg(-1) west of 15 degrees W than east of it, while Delta nC(T)(CAL) in AAIW did not show such a distinct east-west difference. For deep waters, significant Delta nC(T)(CAL) was detected in Antarctic Bottom Water at depths greater than 4500 m in the Cape Basin (longitude 2 degrees E-10 degrees E). No significant Delta nC(T)(CAL) could be detected for North Atlantic Deep Water (NADW). We attributed Delta nC(T)(CAL) being higher west of 15 degrees W in SAMW to differences of water mass distributions and flows. From a water column inventory, we estimated the uptake rate of anthropogenic CO2 over the decade from 1992/1993 to 2003 to be 0.6 +/- 0.1 mol m(-2) a(-1), which is half the rate in the South Pacific (1.0 +/- 0.4 mol m(-2) a(-1)).</t>
  </si>
  <si>
    <t>[Murata, Akihiko; Kumamoto, Yuichiro; Watanabe, Shuichi; Fukasawa, Masao] Japan Agcy Marine Earth Sci &amp; Technol, Inst Observat Res Global Change, Yokosuka, Kanagawa 2370061, Japan; [Sasaki, Ken'ichi] JAMSTEC, Inst Oceanog, Mutsu, Aomori 0350022, Japan</t>
  </si>
  <si>
    <t>Japan Agency for Marine-Earth Science &amp; Technology (JAMSTEC); Japan Agency for Marine-Earth Science &amp; Technology (JAMSTEC)</t>
  </si>
  <si>
    <t>Murata, A (corresponding author), Japan Agcy Marine Earth Sci &amp; Technol, Inst Observat Res Global Change, 2-15 Natsushima, Yokosuka, Kanagawa 2370061, Japan.</t>
  </si>
  <si>
    <t>murataa@jamstec.go.jp</t>
  </si>
  <si>
    <t>C06007</t>
  </si>
  <si>
    <t>10.1029/2007JC004424</t>
  </si>
  <si>
    <t>314MD</t>
  </si>
  <si>
    <t>WOS:000256812600003</t>
  </si>
  <si>
    <t>Nihashi, S; Ohshima, KI</t>
  </si>
  <si>
    <t>Nihashi, Sohey; Ohshima, Kay I.</t>
  </si>
  <si>
    <t>Bulk heat transfer coefficient in the ice-upper ocean system in the ice melt season derived from concentration-temperature relationship</t>
  </si>
  <si>
    <t>WEDDELL SEA; MIXED-LAYER; PACK ICE; PHYTOPLANKTON BIOMASS; SOUTHERN-OCEAN; COUPLED MODEL; DYNAMICS; WINTER; DRIFT; ZONE</t>
  </si>
  <si>
    <t>The bulk heat transfer coefficient in the ice-upper ocean system (K-b) in the ice melt season is estimated by a new method at 18 areas that cover much of the Antarctic seasonal ice zone. The method is based on a model in which ice melting is caused only by heat input through open water and is treated in a bulk fashion in the ice-upper ocean system. K-b is estimated by fitting a convergent curve derived from the model to an observed ice concentration-temperature plot (CT-plot). Estimated K-b is 1.15 +/- 0.72 x 10(-4) ms(-1) on average. If K-b can be expressed by the product of the heat transfer coefficient (c(h)) and the friction velocity (u(tau)), c(h) is 0.0113 +/- 0.0055. This value is about two times larger than that estimated at the ice bottom. The relationship between K-b and the geostrophic wind speed (U-w), which is roughly proportional to u(tau), shows a significant positive correlation, as expected. Further, K-b seems more likely to be proportional to the square or cube of U-w rather than a linear relationship. Since K-b estimated from our method is associated with ice melting in a bulk fashion in the ice-upper ocean system, this relationship likely indicates both the mixing process of heat in the upper ocean (proportional to u(tau)(3)) and the local heat transfer process at the ice-ocean interface (proportional to u(tau)).</t>
  </si>
  <si>
    <t>[Nihashi, Sohey; Ohshima, Kay I.] Hokkaido Univ, Inst Low Temp Sci, Kita Ku, Sapporo, Hokkaido 0600819, Japan</t>
  </si>
  <si>
    <t>Nihashi, S (corresponding author), Hokkaido Univ, Inst Low Temp Sci, Kita Ku, Kita 19,Nishi 8, Sapporo, Hokkaido 0600819, Japan.</t>
  </si>
  <si>
    <t>sohey@lowtem.hokudai.ac.jp</t>
  </si>
  <si>
    <t>Ohshima, Kay I/D-6909-2012</t>
  </si>
  <si>
    <t>C06008</t>
  </si>
  <si>
    <t>10.1029/2007JC004127</t>
  </si>
  <si>
    <t>WOS:000256812600001</t>
  </si>
  <si>
    <t>Ackley, SF; Lewis, MJ; Fritsen, CH; Xie, HJ</t>
  </si>
  <si>
    <t>Ackley, S. F.; Lewis, M. J.; Fritsen, C. H.; Xie, Hongjie</t>
  </si>
  <si>
    <t>Internal melting in Antarctic sea ice: Development of ''gap layers''</t>
  </si>
  <si>
    <t>PACK-ICE; WEDDELL-SEA; SUMMER; COMMUNITIES; PERCOLATION; ALGAE; MODEL</t>
  </si>
  <si>
    <t>An internal ''gap'' layer of deteriorated sea ice is co-located with a significant microbial biological community in late first year and second year Antarctic sea ice in summer. We modeled gap layer formation using a thermal flux model based on the summer reversal in thermal gradient and the thermal conductivity found in the upper ice column. The conductive model gives internal sea ice melt rates (gap layer formation rates) between 0.1 to 0.75cm/day. The cumulative melted layer thicknesses during summer computed from these rates agree with field observations. Since the processes for forming these structures act in the vertical direction only and over a significant range of expected conditions, they are commonly formed in the Antarctic sea ice zone during summer, supporting a significant contribution of gap layers to the ice mass balance and productivity on a circumpolar basis.</t>
  </si>
  <si>
    <t>[Ackley, S. F.; Lewis, M. J.; Xie, Hongjie] Univ Texas San Antonio, Lab Remote Sensing &amp; Geoinformat, San Antonio, TX 78249 USA; [Fritsen, C. H.] Desert Res Inst, Reno, NV 89512 USA; [Lewis, M. J.] SW Res Inst, San Antonio, TX 78238 USA</t>
  </si>
  <si>
    <t>University of Texas System; University of Texas at San Antonio (UTSA); Nevada System of Higher Education (NSHE); Desert Research Institute NSHE; Southwest Research Institute</t>
  </si>
  <si>
    <t>Ackley, SF (corresponding author), Univ Texas San Antonio, Lab Remote Sensing &amp; Geoinformat, San Antonio, TX 78249 USA.</t>
  </si>
  <si>
    <t>michael.lewis@swri.org</t>
  </si>
  <si>
    <t>Xie, Hongjie/B-5845-2009</t>
  </si>
  <si>
    <t>Xie, Hongjie/0000-0003-3516-1210</t>
  </si>
  <si>
    <t>JUN 6</t>
  </si>
  <si>
    <t>L11503</t>
  </si>
  <si>
    <t>10.1029/2008GL033644</t>
  </si>
  <si>
    <t>310VO</t>
  </si>
  <si>
    <t>WOS:000256559000001</t>
  </si>
  <si>
    <t>McMahon, CR; Field, IC; Bradshaw, CJA; White, GC; Hindell, MA</t>
  </si>
  <si>
    <t>McMahon, Clive R.; Field, Iain C.; Bradshaw, Corey J. A.; White, Gary C.; Hindell, Mark A.</t>
  </si>
  <si>
    <t>Tracking and data-logging devices attached to elephant seals do not affect individual mass gain or survival</t>
  </si>
  <si>
    <t>JOURNAL OF EXPERIMENTAL MARINE BIOLOGY AND ECOLOGY</t>
  </si>
  <si>
    <t>animal welfare; Antarctica; climate change; elephant seals; growth; marine; time-depth recorders; tracking devices; satellite telemetry</t>
  </si>
  <si>
    <t>LONG-TERM SURVIVAL; MIROUNGA-LEONINA; CLIMATE-CHANGE; POPULATION; ANIMALS; TURTLES; TRENDS; MANAGEMENT; TILETAMINE; INFERENCE</t>
  </si>
  <si>
    <t>Understanding the cryptic lives of wide-ranging wild animals such as seals can be challenging, but with the advent of miniaturised telemetry and data-logging devices this is now possible and relatively straightforward. However, because marine animals have streamline bodies to reduce drag in their aquatic habitats, attaching external devices to their back or head may affect swimming performance, prey capture efficiency and ultimately, fitness. Given this, and allied welfare concerns, we assessed the short- and long-term consequences of external devices attached to southern elephant seal juveniles and adults under varying environmental conditions. We also assessed the effects of multiple deployments on individuals. There was no evidence for short-term differences in at-sea mass gain (measured as mass on arrival from a foraging trip) or long-term survival rate. The number of times that a seal carried a tracking device (ranging from I to 8 times) did not affect mass or estimated survival. Further, there were no tracking device effects in years of contrasting environmental conditions measured as ENSO anomalies. Consequently, we conclude that the current tracking devices available to researchers are valuable conservation tools that do not adversely affect the performance of a large marine mammal in terms of mass gain or survival probability over short (seasonal) or long (years) temporal scales. (C) 2008 Elsevier B.V. All rights reserved.</t>
  </si>
  <si>
    <t>[Bradshaw, Corey J. A.] Univ Adelaide, Sch Earth &amp; Environm Sci, Res Inst Climate Change &amp; Sustainabil, Adelaide, SA 5005, Australia; [McMahon, Clive R.; Field, Iain C.; Bradshaw, Corey J. A.] Charles Darwin Univ, Inst Adv Studies, Sch Environm Res, Darwin, NT 0909, Australia; [Bradshaw, Corey J. A.] S Australian Res &amp; Dev Inst, Henley Beach, SA 5022, Australia; [Bradshaw, Corey J. A.; Hindell, Mark A.] Univ Tasmania, Sch Zool, Antarctic Wildlife Res Unit, Hobart, Tas 7000, Australia; [White, Gary C.] Colorado State Univ, Dept Fish Wildlife &amp; Conservat Biol, Ft Collins, CO 80523 USA</t>
  </si>
  <si>
    <t>University of Adelaide; Charles Darwin University; University of Tasmania; Colorado State University</t>
  </si>
  <si>
    <t>Bradshaw, CJA (corresponding author), Univ Adelaide, Sch Earth &amp; Environm Sci, Res Inst Climate Change &amp; Sustainabil, Adelaide, SA 5005, Australia.</t>
  </si>
  <si>
    <t>Hindell, Mark A/K-1131-2013; Field, Iain C/D-3934-2009; Hindell, Mark A/C-8368-2013; Bradshaw, Corey J. A./A-1311-2008; McMahon, Clive R/D-5713-2013; White, Gary/CAG-1290-2022</t>
  </si>
  <si>
    <t>Bradshaw, Corey J. A./0000-0002-5328-7741; McMahon, Clive R/0000-0001-5241-8917; Hindell, Mark/0000-0002-7823-7185</t>
  </si>
  <si>
    <t>ELSEVIER</t>
  </si>
  <si>
    <t>RADARWEG 29, 1043 NX AMSTERDAM, NETHERLANDS</t>
  </si>
  <si>
    <t>0022-0981</t>
  </si>
  <si>
    <t>1879-1697</t>
  </si>
  <si>
    <t>J EXP MAR BIOL ECOL</t>
  </si>
  <si>
    <t>J. Exp. Mar. Biol. Ecol.</t>
  </si>
  <si>
    <t>10.1016/j.jembe.2008.03.012</t>
  </si>
  <si>
    <t>Ecology; Marine &amp; Freshwater Biology</t>
  </si>
  <si>
    <t>Environmental Sciences &amp; Ecology; Marine &amp; Freshwater Biology</t>
  </si>
  <si>
    <t>322AZ</t>
  </si>
  <si>
    <t>WOS:000257348900002</t>
  </si>
  <si>
    <t>García, M; Ercilla, G; Anderson, JB; Alonso, B</t>
  </si>
  <si>
    <t>Garcia, Marga; Ercilla, Gemma; Anderson, John B.; Alonso, Belen</t>
  </si>
  <si>
    <t>New insights on the post-rift seismic stratigraphic architecture and sedimentary evolution of the Antarctic Peninsula margin (Central Bransfield Basin)</t>
  </si>
  <si>
    <t>MARINE GEOLOGY</t>
  </si>
  <si>
    <t>Antarctica; Bransfield Basin; glacial processes; glaciomarine processes; seismic stratigraphy</t>
  </si>
  <si>
    <t>SOUTH SCOTIA RIDGE; ICE-SHEET; CONTINENTAL-MARGIN; ECHO-CHARACTER; DEEP-SEA; FLOW; DEPOSITS; GLACIATION; TRANSITION; STABILITY</t>
  </si>
  <si>
    <t>A seismic stratigraphic study of the Antarctic Peninsula margin of the Central Bransfield Basin was conducted using seismic and bathymetric data. The study focused on seismic sequences and units deposited after the basin opened, and yield a record of the evolution of the northern-most Antarctic Peninsula Ice Sheet. Two seismic sequences compose the post-rift stratigraphic succession on the Central Bransfield Basin slope platforms. Both sequences are composed of seismic units that record glacial/interglacial cycles and show evidence of the Antarctic Peninsula Ice Sheet having grounded on the continental shelf and slope platform on several occasions in the past. This evidence includes glacial and glaciomarine related sedimentary and erosional features within the seismic units (glacial unconformities, glacial troughs, till wedges, prograded wedges, trough mouth fans, glaciomarine sheet deposits and moraines), which are bounded by glacial unconformities. The Antarctic Peninsula lower slope also registered in its eastern sector the deposition of gravity flow deposits during ice sheet retreat and interglacial stages. The deposition of seismic units on the middle slope produced the present-day step-like profile of the margin composed of wide flat slope platforms and narrow and steep upper and lower slopes. Seismic units show changes in thickness and distribution that record the effect of the physiography and climatic changes on margin sedimentation. These variations produced an overall change from more line-sourced deposition to more point sourced deposition as ice streams evolved. The stacking of units shows a change in the stratigraphic architecture through time, from dominantly progradational (S2) to progradational/aggradational (S1). This change is correlated with a change in the frequency of ice sheet grounding events which was probably driven by a higher rate of eustatic rise and fall in relation with the Mid Pleistocene global climatic change. (C) 2008 Elsevier B.V. All rights reserved.</t>
  </si>
  <si>
    <t>[Garcia, Marga; Ercilla, Gemma; Alonso, Belen] CSIC, ICM, Inst Ciencias Mar, E-08003 Barcelona, Spain; [Anderson, John B.] Rice Univ, Dept Earth Sci, Houston, TX 77005 USA</t>
  </si>
  <si>
    <t>Consejo Superior de Investigaciones Cientificas (CSIC); CSIC - Centro Mediterraneo de Investigaciones Marinas y Ambientales (CMIMA); CSIC - Instituto de Ciencias del Mar (ICM); Rice University</t>
  </si>
  <si>
    <t>García, M (corresponding author), CSIC, ICM, Inst Ciencias Mar, 37-49, E-08003 Barcelona, Spain.</t>
  </si>
  <si>
    <t>mgarcia@icm.csic.es; gemma@icm.csic.es; johna@rice.edu; belen@icm.csic.es</t>
  </si>
  <si>
    <t>Ercilla, Gemma/G-8180-2015; Alonso, Belen/A-5531-2015; Garcia, Marga/L-7410-2014; Anderson, John/B-1011-2012</t>
  </si>
  <si>
    <t>Garcia, Marga/0000-0003-2632-6132; Ercilla, Gemma/0000-0002-9709-2938; Alonso, Belen/0000-0002-3138-5260</t>
  </si>
  <si>
    <t>0025-3227</t>
  </si>
  <si>
    <t>1872-6151</t>
  </si>
  <si>
    <t>MAR GEOL</t>
  </si>
  <si>
    <t>Mar. Geol.</t>
  </si>
  <si>
    <t>10.1016/j.margeo.2008.02.006</t>
  </si>
  <si>
    <t>Geosciences, Multidisciplinary; Oceanography</t>
  </si>
  <si>
    <t>Geology; Oceanography</t>
  </si>
  <si>
    <t>313AO</t>
  </si>
  <si>
    <t>WOS:000256713700003</t>
  </si>
  <si>
    <t>Ræder, ILU; Leiros, I; Willassen, NP; Smalås, AO; Moe, E</t>
  </si>
  <si>
    <t>Raeder, Inger Lin Uttakleiv; Leiros, Ingar; Willassen, Nils Peder; Smalas, Arne O.; Moe, Elin</t>
  </si>
  <si>
    <t>Uracil-DNA N-glycosylase (UNG) from the marine, psychrophilic bacterium Vibrio salmonicida shows cold adapted features A comparative analysis to Vibrio cholerae uracil-DNA N-glycosylase</t>
  </si>
  <si>
    <t>ENZYME AND MICROBIAL TECHNOLOGY</t>
  </si>
  <si>
    <t>cold adaptation; psychrophilic enzymes; uracil-DNA N-glycosylase; Vibrio salmonicida; Vibrio cholerae</t>
  </si>
  <si>
    <t>COD GADUS-MORHUA; COMPARATIVE MOLECULAR-DYNAMICS; BASE-EXCISION-REPAIR; ESCHERICHIA-COLI; CRYSTAL-STRUCTURE; STRUCTURAL BASIS; ANTARCTIC BACTERIUM; BIOCHEMICAL-PROPERTIES; MUTATIONAL ANALYSIS; CYTOSINE RESIDUES</t>
  </si>
  <si>
    <t>The genes encoding uracil-DNA N-glycosylase (UNG) from the marine, psychrophilic bacterium Vibrio salmonicida and the mesophilic counterpart Vibrio cholerae have been cloned and expressed in Escherichia coli. The purified proteins have been characterized in order to reveal possible cold adapted features of the V salmonicida UNG (vsUNG) compared to the V cholerae UNG (vcUNG). Characterization experiments demonstrated that both enzymes possessed the highest activities at pH 7.0-7.5 and at salt concentrations in the range of 25-50 mM NaCl. Temperature optima for activity were determined to approximately 30 degrees C for vsUNG and 50 degrees C for vcUNG. Temperature stability of the enzymes was compared at 4 degrees C and 37 degrees C, and vsUNG was found to be more temperature labile than vcUNG. Kinetic studies performed at three different temperatures, 15 degrees C, 22 degrees C and 37 degrees C, demonstrated higher catalytic efficiency for vsUNG compared to vcUNG due to lower Km-values. The increased substrate affinity of vsUNG is probably caused by an increased number of positively charged residues in the DNA-binding site of the enzyme compared to vcUNG. Thus, activity and stability measurements reveal typical cold adapted features of vsUNG. (c) 2008 Elsevier Inc. All rights reserved.</t>
  </si>
  <si>
    <t>[Willassen, Nils Peder] Univ Tromso, Dept Mol Biotechnol, Inst Med Biol, N-9037 Tromso, Norway; [Raeder, Inger Lin Uttakleiv; Leiros, Ingar; Smalas, Arne O.; Moe, Elin] Univ Tromso, Dept Chem, Fac Sci, N-9037 Tromso, Norway; [Raeder, Inger Lin Uttakleiv; Leiros, Ingar; Willassen, Nils Peder; Smalas, Arne O.; Moe, Elin] Univ Tromso, Norwegian Struct Biol Ctr, N-9037 Tromso, Norway</t>
  </si>
  <si>
    <t>UiT The Arctic University of Tromso; UiT The Arctic University of Tromso; UiT The Arctic University of Tromso</t>
  </si>
  <si>
    <t>Moe, E (corresponding author), Univ Tromso, Dept Chem, Fac Sci, N-9037 Tromso, Norway.</t>
  </si>
  <si>
    <t>elin.moe@chem.uit.no</t>
  </si>
  <si>
    <t>Willassen, Nils Peder/AAE-1843-2019; Moe, Elin/Q-6131-2019; Leiros, Ingar/AAM-2940-2020; Smalås, Arne/C-4131-2016</t>
  </si>
  <si>
    <t>Willassen, Nils Peder/0000-0002-4397-8020; Moe, Elin/0000-0002-7923-1471; Smalås, Arne/0000-0002-4651-9911; Raeder, Inger Lin Uttakleiv/0000-0002-3711-2538</t>
  </si>
  <si>
    <t>ELSEVIER SCIENCE INC</t>
  </si>
  <si>
    <t>360 PARK AVE SOUTH, NEW YORK, NY 10010-1710 USA</t>
  </si>
  <si>
    <t>0141-0229</t>
  </si>
  <si>
    <t>ENZYME MICROB TECH</t>
  </si>
  <si>
    <t>Enzyme Microb. Technol.</t>
  </si>
  <si>
    <t>JUN 5</t>
  </si>
  <si>
    <t>10.1016/j.enzmictec.2008.02.005</t>
  </si>
  <si>
    <t>Biotechnology &amp; Applied Microbiology</t>
  </si>
  <si>
    <t>312AB</t>
  </si>
  <si>
    <t>WOS:000256640400010</t>
  </si>
  <si>
    <t>Richter, A; Popov, SV; Dietrich, R; Lukin, VV; Fritsche, M; Lipenkov, VY; Matveev, AY; Wendt, J; Yuskevich, AV; Masolov, VN</t>
  </si>
  <si>
    <t>Richter, A.; Popov, S. V.; Dietrich, R.; Lukin, V. V.; Fritsche, M.; Lipenkov, V. Y.; Matveev, A. Y.; Wendt, J.; Yuskevich, A. V.; Masolov, V. N.</t>
  </si>
  <si>
    <t>Observational evidence on the stability of the hydro-glaciological regime of subglacial Lake Vostok</t>
  </si>
  <si>
    <t>ANTARCTICA; ICE; ACCUMULATION; STATION; SNOW</t>
  </si>
  <si>
    <t>Combined geodetic, geophysical and glaciological in situ measurements are interpreted regarding surface height changes over subglacial Lake Vostok and the local mass balance of the ice sheet at Vostok station. Repeated GPS observations spanning 5 years and long-term surface accumulation data show that the height of the lake surface has not changed over the observation period. The application of the mass conservation equation to purely observational data yields an ice mass balance for Vostok station close to equilibrium.</t>
  </si>
  <si>
    <t>[Richter, A.; Dietrich, R.; Fritsche, M.] Tech Univ Dresden, Inst Planetare Geodasie, D-01062 Dresden, Germany; [Popov, S. V.; Masolov, V. N.] Polar Marine Geosurvey Expedit, St Petersburg 188512, Russia; [Lukin, V. V.; Lipenkov, V. Y.] Arctic &amp; Antarctic Res Inst, St Petersburg 199397, Russia; [Matveev, A. Y.; Yuskevich, A. V.] Aerogeodeziya, St Petersburg, Russia; [Wendt, J.] Ctr Estudios Cient, Valdivia, Chile</t>
  </si>
  <si>
    <t>Technische Universitat Dresden; Arctic &amp; Antarctic Research Institute</t>
  </si>
  <si>
    <t>Richter, A (corresponding author), Tech Univ Dresden, Inst Planetare Geodasie, D-01062 Dresden, Germany.</t>
  </si>
  <si>
    <t>richter@ipg.geo.tu-dresden.de</t>
  </si>
  <si>
    <t>Popov, Sergey/IYJ-2371-2023; Richter, Andreas/ABD-6833-2020; Popov, Sergey V./I-2319-2013; Lukin, Valeriy/N-1147-2015; Lipenkov, Vladimir/Q-8262-2016</t>
  </si>
  <si>
    <t>Popov, Sergey/0000-0002-1830-8658; Richter, Andreas/0000-0002-7900-4893; Popov, Sergey V./0000-0002-1830-8658; Lukin, Valeriy/0000-0003-1726-7361; Lipenkov, Vladimir/0000-0003-4221-5440; Richter, Andreas/0000-0002-8588-9755</t>
  </si>
  <si>
    <t>L11502</t>
  </si>
  <si>
    <t>10.1029/2008GL033397</t>
  </si>
  <si>
    <t>310VJ</t>
  </si>
  <si>
    <t>WOS:000256558500003</t>
  </si>
  <si>
    <t>Tanaka, Y; Hasumi, H</t>
  </si>
  <si>
    <t>Tanaka, Yukio; Hasumi, Hiroyasu</t>
  </si>
  <si>
    <t>Injection of Antarctic Intermediate Water into the Atlantic subtropical gyre in an eddy resolving ocean model</t>
  </si>
  <si>
    <t>RESIDUAL-MEAN VELOCITY; CIRCUMPOLAR CURRENT; POTENTIAL VORTICITY; CIRCULATION; TRACER; TRANSPORT; EQUATIONS</t>
  </si>
  <si>
    <t>Antarctic Intermediate Water (AAIW) injection mechanism into the Atlantic subtropical gyre at the Brazil-Malvinas (B/M) Current confluence is investigated by using an eddy resolving ocean model. The temporal residual-mean (TRM) velocity framework is used to evaluate transport due to eddies. It is found that the AAIW injection is caused by eddy-induced transport. A low potential vorticity (PV) water in Malvinas Current generated in the southeast Pacific and near Burdwood Bank encounters the Brazil Current at the B/M confluence, which has relatively high PV value. Since stirring of eddies transports low PV water into high PV water region, the low PV water in Malvinas Current is injected into Brazil Current. The downward TRM velocity exceeds 3 x 10(-5) m s(-1) at the confluence, which represents strength of the injection. This strong downward transport forms the low salinity tongue of the Atlantic AAIW in this eddy-resolving ocean model.</t>
  </si>
  <si>
    <t>[Tanaka, Yukio] Japan Agcy Marine Earth Sci &amp; Technol, Frontier Res Ctr Global Change, Kanazawa Ku, Yokohama, Kanagawa 2360001, Japan; [Hasumi, Hiroyasu] Univ Tokyo, Ctr Climate Syst Res, Kashiwa, Chiba, Japan</t>
  </si>
  <si>
    <t>Japan Agency for Marine-Earth Science &amp; Technology (JAMSTEC); University of Tokyo</t>
  </si>
  <si>
    <t>Tanaka, Y (corresponding author), Japan Agcy Marine Earth Sci &amp; Technol, Frontier Res Ctr Global Change, Kanazawa Ku, 3173-25 Showa Machi, Yokohama, Kanagawa 2360001, Japan.</t>
  </si>
  <si>
    <t>ytanaka@jamstec.go.jp</t>
  </si>
  <si>
    <t>L11601</t>
  </si>
  <si>
    <t>10.1029/2007GL032915</t>
  </si>
  <si>
    <t>Green Submitted, Bronze</t>
  </si>
  <si>
    <t>WOS:000256558500001</t>
  </si>
  <si>
    <t>Wessel, P; Kroenke, LW</t>
  </si>
  <si>
    <t>Wessel, Paul; Kroenke, Loren W.</t>
  </si>
  <si>
    <t>Pacific absolute plate motion since 145 Ma: An assessment of the fixed hot spot hypothesis</t>
  </si>
  <si>
    <t>JOURNAL OF GEOPHYSICAL RESEARCH-SOLID EARTH</t>
  </si>
  <si>
    <t>POLAR WANDER PATH; HAWAIIAN HOTSPOT; TECTONIC HISTORY; ANTARCTIC RIDGE; SOUTH-PACIFIC; MANTLE FLOW; SEAMOUNT; VOLCANISM; OCEAN; PLUMES</t>
  </si>
  <si>
    <t>Using the geometry and ages from 12 Pacific seamount chains, we have determined two new absolute plate motion models that now extend our self-consistent and high-resolution models with covariance estimates back to 145 Ma. The WK08-A model maps the full uncertainty in the age progressions into uncertainties in rotation opening angles, yielding a relatively smooth plate motion model. The WK08-G model relaxes the mapping of age uncertainties in order to better isolate secondary geometry changes seen along many coregistered chains. Both models have been used to assess the viability of the fixed hot spot hypothesis in the Pacific. In determining the models, we found that only a small group of age samples had to be discarded on the grounds that they were discordant with the dominant trends. We were able to connect plate motions for pre-and post-Emperor age intervals by including the Ratak-Gilbert-Ellice and Musicians trails in our analysis. However, as no active hot spot locations exist for the older chains, their inclusion adds additional model parameters. Both age and geometry misfits increase with age, reflecting the observed increase in age uncertainties and the general widening of trails. Secondary (and short-lived) changes in absolute plate motion mapped in WK08-G appear to correlate with the timing and sense of motion of known Pacific Rim tectonic events. Analysis of interchain distances between coeval samples from the Hawaii and Louisville chains suggests possible discrepancies during the older Emperor stage that are compatible with predictions of hot spot drift. We computed a new apparent polar wander path for the Pacific and found a high degree of correspondence with paleomagnetically derived paths, as long as solutions allowing for anomalous skewness were included in the latter. Our polar wander path suggests that there might have been some true polar wander during the Emperor stage, complemented by a smaller amount of hot spot drift than otherwise required. We show that chain geometries and ages, combined with future paleolatitude determinations from additional sites and chains could enable an observation-based description of both hot spot and plate motions without relying on predictions of hot spot drift derived from mantle flow calculations.</t>
  </si>
  <si>
    <t>[Wessel, Paul; Kroenke, Loren W.] Univ Hawaii Manoa, Sch Ocean &amp; Earth Sci &amp; Technol, Honolulu, HI 96822 USA</t>
  </si>
  <si>
    <t>Wessel, P (corresponding author), Univ Hawaii Manoa, Sch Ocean &amp; Earth Sci &amp; Technol, Honolulu, HI 96822 USA.</t>
  </si>
  <si>
    <t>2169-9313</t>
  </si>
  <si>
    <t>2169-9356</t>
  </si>
  <si>
    <t>J GEOPHYS RES-SOL EA</t>
  </si>
  <si>
    <t>J. Geophys. Res.-Solid Earth</t>
  </si>
  <si>
    <t>B6</t>
  </si>
  <si>
    <t>B06101</t>
  </si>
  <si>
    <t>10.1029/2007JB005499</t>
  </si>
  <si>
    <t>310YI</t>
  </si>
  <si>
    <t>WOS:000256566500003</t>
  </si>
  <si>
    <t>Wiens, DA; Anandakrishnan, S; Winberry, JP; King, MA</t>
  </si>
  <si>
    <t>Wiens, Douglas A.; Anandakrishnan, Sridhar; Winberry, J. Paul; King, Matt A.</t>
  </si>
  <si>
    <t>Simultaneous teleseismic and geodetic observations of the stick-slip motion of an Antarctic ice stream</t>
  </si>
  <si>
    <t>FREE OSCILLATIONS; GLACIAL EARTHQUAKES; WAVES; MOUTH; MODEL</t>
  </si>
  <si>
    <t>Long- period seismic sources associated with glacier motion have been recently discovered(1,2), and an increase in ice flow over the past decade has been suggested on the basis of secular changes in such measurements(3). Their significance, however, remains uncertain, as a relationship to ice flow has not been confirmed by direct observation. Here we combine long- period surface- wave observations with simultaneous Global Positioning System measurements of ice displacement to study the tidally modulated stick - slip motion of the Whillans Ice Stream in West Antarctica(4,5). The seismic origin time corresponds to slip nucleation at a region of the bed of the Whillans Ice Stream that is likely stronger than in surrounding regions and, thus, acts like an 'asperity' in traditional fault models. In addition to the initial pulse, two seismic arrivals occurring 10 - 23 minutes later represent stopping phases as the slip terminates at the ice stream edge and the grounding line. Seismic amplitude and average rupture velocity are correlated with tidal amplitude for the different slip events during the spring- to- neap tidal cycle. Although the total seismic moment calculated from ice rigidity, slip displacement, and rupture area is equivalent to an earthquake of moment magnitude seven ( M-w 7), seismic amplitudes are modest ( M-s 3.6 - 4.2), owing to the source duration of 20 - 30 minutes. Seismic radiation from ice movement is proportional to the derivative of the moment rate function at periods of 25 - 100 seconds and very long- period radiation is not detected, owing to the source geometry. Long- period seismic waves are thus useful for detecting and studying sudden ice movements but are insensitive to the total amount of slip.</t>
  </si>
  <si>
    <t>[Wiens, Douglas A.] Washington Univ, Dept Earth &amp; Planetary Sci, St Louis, MO 63130 USA; [Anandakrishnan, Sridhar; Winberry, J. Paul] Penn State Univ, Dept Geosci, University Pk, PA 16802 USA; [King, Matt A.] Univ Newcastle, Sch Civil Engn &amp; Geosci, Newcastle Upon Tyne NE1 7RU, Tyne &amp; Wear, England</t>
  </si>
  <si>
    <t>Washington University (WUSTL); Pennsylvania Commonwealth System of Higher Education (PCSHE); Pennsylvania State University; Pennsylvania State University - University Park; Newcastle University - UK</t>
  </si>
  <si>
    <t>Wiens, DA (corresponding author), Washington Univ, Dept Earth &amp; Planetary Sci, St Louis, MO 63130 USA.</t>
  </si>
  <si>
    <t>doug@wustl.edu</t>
  </si>
  <si>
    <t>Winberry, Paul/HLQ-2673-2023; King, Matt/B-4622-2008; Winberry, Paul/E-5557-2011; Anandakrishnan, Sridhar/JCN-5026-2023; Wiens, Douglas/J-9259-2016</t>
  </si>
  <si>
    <t>Winberry, Paul/0000-0003-1205-0745; King, Matt/0000-0001-5611-9498; Wiens, Douglas/0000-0002-5169-4386</t>
  </si>
  <si>
    <t>NERC [NE/C002121/1] Funding Source: UKRI; Natural Environment Research Council [NE/C002121/1] Funding Source: researchfish</t>
  </si>
  <si>
    <t>U3</t>
  </si>
  <si>
    <t>10.1038/nature06990</t>
  </si>
  <si>
    <t>308UK</t>
  </si>
  <si>
    <t>WOS:000256415300041</t>
  </si>
  <si>
    <t>Holland, NB; Nishimiya, Y; Tsuda, S; Sönnichsen, FD</t>
  </si>
  <si>
    <t>Holland, Nolan B.; Nishimiya, Yoshiyuki; Tsuda, Sakae; Sonnichsen, Frank D.</t>
  </si>
  <si>
    <t>Two domains of RD3 antifreeze protein diffuse independently</t>
  </si>
  <si>
    <t>BIOCHEMISTRY</t>
  </si>
  <si>
    <t>MACROMOLECULAR STRUCTURE DETERMINATION; I ANTIFREEZE; INTRAMOLECULAR DIMER; DIPOLAR COUPLINGS; NMR; ICE; BINDING; ALIGNMENT; FLEXIBILITY; DYNAMICS</t>
  </si>
  <si>
    <t>Antifreeze proteins (AFPs) make up a class of structurally diverse proteins that help to protect many organisms from freezing temperatures by inhibiting ice crystal growth at temperatures below the colligative freezing point. AFPs are typically small proteins with a relatively flat, slightly hydrophobic binding region that matches the lattice structure of a specific ice crystal plane. The only known two-domain AFP is RD3 from the Antarctic eel pout. It consists of two nearly identical type III domains connected by a nine-residue linker. This protein exhibits higher activity than the single-domain protein at low concentrations. The initial solution structure of RD3 revealed that the domains were aligned so that the binding regions were nearly coplanar, effectively doubling the surface area for binding. A more recent report suggests that the domains may not be aligned in solution but rather diffuse independently. To resolve the issue, we have measured the NMR residual dipolar couplings using alignment media of stretched gels and filamentous phage to determine the relative orientation of the domains. We find that the two domains of RD3 are free to move relative to each other, within the constraint of the flexible nine-residue linker. Our data show that there is no strongly preferred alignment in solution. Furthermore, the flexibility and length of the linker are sufficient to allow the two domains to have their binding faces in the same orientation and coplanar for simultaneous binding to an ice crystal surface.</t>
  </si>
  <si>
    <t>[Holland, Nolan B.; Sonnichsen, Frank D.] Case Western Reserve Univ, Dept Physiol &amp; Biophys, Cleveland, OH 44106 USA; [Holland, Nolan B.] Cleveland State Univ, Dept Chem &amp; Biomed Engn, Cleveland, OH 44115 USA; [Nishimiya, Yoshiyuki; Tsuda, Sakae] Natl Inst Adv Ind Sci &amp; Technol, Inst Biol Resources &amp; Funct, Sapporo, Hokkaido 0628517, Japan</t>
  </si>
  <si>
    <t>University System of Ohio; Case Western Reserve University; University System of Ohio; Cleveland State University; National Institute of Advanced Industrial Science &amp; Technology (AIST)</t>
  </si>
  <si>
    <t>Sönnichsen, FD (corresponding author), Case Western Reserve Univ, Dept Physiol &amp; Biophys, 10900 Euclid Ave, Cleveland, OH 44106 USA.</t>
  </si>
  <si>
    <t>fds@case.edu</t>
  </si>
  <si>
    <t>Sönnichsen, Frank D/D-8408-2011; Tsuda, Sakae/M-2756-2018; Holland, Nolan/F-6933-2011; Nishimiya, Yoshiyuki/M-4173-2018</t>
  </si>
  <si>
    <t>Sonnichsen, Frank/0000-0002-4539-3755; Tsuda, Sakae/0000-0002-1399-0619; Holland, Nolan/0000-0002-0752-6887; Nishimiya, Yoshiyuki/0000-0002-0701-7775</t>
  </si>
  <si>
    <t>NIDDK NIH HHS [DK07678, DK57306] Funding Source: Medline; NIGMS NIH HHS [GM55326] Funding Source: Medline</t>
  </si>
  <si>
    <t>NIDDK NIH HHS(United States Department of Health &amp; Human ServicesNational Institutes of Health (NIH) - USANIH National Institute of Diabetes &amp; Digestive &amp; Kidney Diseases (NIDDK)); NIGMS NIH HHS(United States Department of Health &amp; Human ServicesNational Institutes of Health (NIH) - USANIH National Institute of General Medical Sciences (NIGMS))</t>
  </si>
  <si>
    <t>AMER CHEMICAL SOC</t>
  </si>
  <si>
    <t>1155 16TH ST, NW, WASHINGTON, DC 20036 USA</t>
  </si>
  <si>
    <t>0006-2960</t>
  </si>
  <si>
    <t>BIOCHEMISTRY-US</t>
  </si>
  <si>
    <t>Biochemistry</t>
  </si>
  <si>
    <t>JUN 3</t>
  </si>
  <si>
    <t>10.1021/bi8001924</t>
  </si>
  <si>
    <t>Biochemistry &amp; Molecular Biology</t>
  </si>
  <si>
    <t>306NX</t>
  </si>
  <si>
    <t>WOS:000256256200005</t>
  </si>
  <si>
    <t>Thompson, RL; Gloor, M; Manning, AC; Lowe, DC; Rödenbeck, C; Le Quéré, C</t>
  </si>
  <si>
    <t>Thompson, Rona L.; Gloor, Manuel; Manning, Andrew C.; Lowe, David C.; Roedenbeck, Christian; Le Quere, Corinne</t>
  </si>
  <si>
    <t>Variability in atmospheric O2 and CO2 concentrations in the southern Pacific Ocean and their comparison with model estimates</t>
  </si>
  <si>
    <t>JOURNAL OF GEOPHYSICAL RESEARCH-BIOGEOSCIENCES</t>
  </si>
  <si>
    <t>GLOBAL CARBON-CYCLE; OXYGEN MEASUREMENTS; HEMISPHERE AIR; NEW-ZEALAND; SEA; FLUX; TEMPERATURE; O-2/N-2; SINKS</t>
  </si>
  <si>
    <t>We examine ship-based observations of atmospheric O-2 and CO2 in the southern Pacific Ocean made during two voyages: in February 2003 and in April 2004. We found, for the Austral late summer to autumn, evidence of a maximum in Atmospheric Potential Oxygen (APO) (an atmospheric tracer that is conservative with respect to terrestrial biological activity, APO approximate to O-2 + CO2) centered around 50 degrees S owing to biologically driven O-2 outgassing (associated with strong productivity in the Sub-Tropical Convergence Zone) and evidence in the February voyage of a decreasing APO trend from 57 degrees S south toward the Antarctic coast. The observed APO variability appears to be primarily determined by the interplay between atmospheric transport and the spatial distribution of O-2 air-sea flux resulting from regional differences in biological production. Comparisons of these observations with APO derived from coupling the TM3 atmospheric transport model with flux estimates from (1) the PISCES-T ocean biogeochemistry model, and (2) O-2 and CO2 climatologies, show that both PISCES-T and the climatology reproduce the observed gradient and curvature of APO but underestimate the magnitude of the observed APO maximum in the mid southern latitudes. Although the temporal limitation of our data does not permit us to calculate the annual mean APO gradient, the results support previous model predictions of a decreasing APO trend from the mid to high southern latitudes.</t>
  </si>
  <si>
    <t>[Thompson, Rona L.; Manning, Andrew C.; Roedenbeck, Christian; Le Quere, Corinne] Max Planck Inst Biogeochem, D-07745 Jena, Germany; [Gloor, Manuel] Univ Leeds, Sch Geog, Fac Environm, Leeds LS2 9JT, W Yorkshire, England; [Manning, Andrew C.; Le Quere, Corinne] Univ E Anglia, Sch Environm Sci, Norwich NR4 7TJ, Norfolk, England; [Thompson, Rona L.; Lowe, David C.] Natl Inst Water &amp; Atmospher Res NIWA, Wellington 6021, New Zealand; [Le Quere, Corinne] British Antarctic Survey, Cambridge CB3 0ET, England</t>
  </si>
  <si>
    <t>Max Planck Society; University of Leeds; University of East Anglia; National Institute of Water &amp; Atmospheric Research (NIWA) - New Zealand; UK Research &amp; Innovation (UKRI); Natural Environment Research Council (NERC); NERC British Antarctic Survey</t>
  </si>
  <si>
    <t>Thompson, RL (corresponding author), Max Planck Inst Biogeochem, Hans Knoll Str 10, D-07745 Jena, Germany.</t>
  </si>
  <si>
    <t>rthompson@bgc-jena.mpg.de</t>
  </si>
  <si>
    <t>Manning, Andrew C/D-4416-2011; Manning, Andrew/AAN-5629-2021; Le Quéré, Corinne/C-2631-2017</t>
  </si>
  <si>
    <t>Manning, Andrew C/0000-0001-6952-7773; Manning, Andrew/0000-0001-6952-7773; Le Quéré, Corinne/0000-0003-2319-0452; Thompson, Rona/0000-0001-9485-7176</t>
  </si>
  <si>
    <t>NERC [NE/F005733/1, bas010013] Funding Source: UKRI; Natural Environment Research Council [NE/F005733/1, bas010013, NE/C002504/1] Funding Source: researchfish</t>
  </si>
  <si>
    <t>2169-8953</t>
  </si>
  <si>
    <t>2169-8961</t>
  </si>
  <si>
    <t>J GEOPHYS RES-BIOGEO</t>
  </si>
  <si>
    <t>J. Geophys. Res.-Biogeosci.</t>
  </si>
  <si>
    <t>G2</t>
  </si>
  <si>
    <t>G02025</t>
  </si>
  <si>
    <t>10.1029/2007JG000554</t>
  </si>
  <si>
    <t>Environmental Sciences; Geosciences, Multidisciplinary</t>
  </si>
  <si>
    <t>Environmental Sciences &amp; Ecology; Geology</t>
  </si>
  <si>
    <t>310WP</t>
  </si>
  <si>
    <t>WOS:000256561800002</t>
  </si>
  <si>
    <t>Teets, NM; Elnitsky, MA; Benoit, JB; Lopez-Martinez, G; Denlinger, DL; Lee, RE</t>
  </si>
  <si>
    <t>Teets, Nicholas M.; Elnitsky, Michael A.; Benoit, Joshua B.; Lopez-Martinez, Giancarlo; Denlinger, David L.; Lee, Richard E., Jr.</t>
  </si>
  <si>
    <t>Rapid cold-hardening in larvae of the Antarctic midge Belgica antarctica:: cellular cold-sensing and a role for calcium</t>
  </si>
  <si>
    <t>AMERICAN JOURNAL OF PHYSIOLOGY-REGULATORY INTEGRATIVE AND COMPARATIVE PHYSIOLOGY</t>
  </si>
  <si>
    <t>insect cold-hardening; rapid acclimation; calcium signaling; freeze-tolerant insects</t>
  </si>
  <si>
    <t>FLY SARCOPHAGA-CRASSIPALPIS; INSECT FREEZE TOLERANCE; DROSOPHILA-MELANOGASTER; LOW-TEMPERATURE; FLESH FLY; PROTEIN-KINASE; EUROSTA-SOLIDAGINIS; SIGNAL-TRANSDUCTION; GENE-EXPRESSION; GALL FLY</t>
  </si>
  <si>
    <t>In many insects, the rapid cold-hardening (RCH) response significantly enhances cold tolerance in minutes to hours. Larvae of the Antarctic midge, Belgica antarctica, exhibit a novel form of RCH, by which they increase their freezing tolerance. In this study, we examined whether cold-sensing and RCH in B. antarctica occur in vitro and whether calcium is required to generate RCH. As demonstrated previously, 1 h at -5 degrees C significantly increased organismal freezing tolerance at both -15 degrees C and -20 degrees C. Likewise, RCH enhanced cell survival of fat body, Malpighian tubules, and midgut tissue of larvae frozen at -20 degrees C. Furthermore, isolated tissues retained the capacity for RCH in vitro, as demonstrated with both a dye exclusion assay and a 3-(4,5-dimethylthiazol-2-yl)-2,5-diphenyltetrazolium bromide (MTT)-based viability assay, thus indicating that cold-sensing and RCH in B. antarctica occur at the cellular level. Interestingly, there was no difference in survival between tissues that were supercooled at -5 degrees C and those frozen at -5 degrees C, suggesting that temperature mediates the RCH response independent of the freezing of body fluids. Finally, we demonstrated that calcium is required for RCH to occur. Removing calcium from the incubating solution slightly decreased cell survival after RCH treatments, while blocking calcium with the intracellular chelator BAPTA-AM significantly reduced survival in the RCH treatments. The calmodulin inhibitor N-(6-aminohexyl)-5-chloro-1-naphthalenesulfonamide hydrochloride (W-7) also significantly reduced cell survival in the RCH treatments, thus supporting a role for calcium in RCH. This is the first report implicating calcium as an important second messenger in the RCH response.</t>
  </si>
  <si>
    <t>[Teets, Nicholas M.; Elnitsky, Michael A.; Lee, Richard E., Jr.] Miami Univ, Dept Zool, Oxford, OH 45056 USA; [Teets, Nicholas M.; Benoit, Joshua B.; Lopez-Martinez, Giancarlo; Denlinger, David L.] Ohio State Univ, Dept Entomol, Columbus, OH 43210 USA</t>
  </si>
  <si>
    <t>University System of Ohio; Miami University; University System of Ohio; Ohio State University</t>
  </si>
  <si>
    <t>Lee, RE (corresponding author), Miami Univ, Dept Zool, Oxford, OH 45056 USA.</t>
  </si>
  <si>
    <t>leere@muohio.edu</t>
  </si>
  <si>
    <t>Lopez-Martinez, Giancarlo/AAE-8134-2020; Teets, Nicholas/IQT-5328-2023; Lopez-Martinez, Giancarlo/D-1718-2011; Teets, Nicholas/H-7386-2013</t>
  </si>
  <si>
    <t>Lopez-Martinez, Giancarlo/0000-0002-7937-5002; Lopez-Martinez, Giancarlo/0000-0002-7937-5002; Teets, Nicholas/0000-0003-0963-7457</t>
  </si>
  <si>
    <t>AMER PHYSIOLOGICAL SOC</t>
  </si>
  <si>
    <t>BETHESDA</t>
  </si>
  <si>
    <t>9650 ROCKVILLE PIKE, BETHESDA, MD 20814 USA</t>
  </si>
  <si>
    <t>0363-6119</t>
  </si>
  <si>
    <t>AM J PHYSIOL-REG I</t>
  </si>
  <si>
    <t>Am. J. Physiol.-Regul. Integr. Comp. Physiol.</t>
  </si>
  <si>
    <t>JUN</t>
  </si>
  <si>
    <t>R1938</t>
  </si>
  <si>
    <t>R1946</t>
  </si>
  <si>
    <t>10.1152/ajpregu.00459.2007</t>
  </si>
  <si>
    <t>Physiology</t>
  </si>
  <si>
    <t>309CL</t>
  </si>
  <si>
    <t>WOS:000256438200022</t>
  </si>
  <si>
    <t>Linse, K</t>
  </si>
  <si>
    <t>Linse, Katrin</t>
  </si>
  <si>
    <t>Antarctic Marine biodiversity - a taxonomic crisis?</t>
  </si>
  <si>
    <t>ANTARCTIC SCIENCE</t>
  </si>
  <si>
    <t>Linse, Katrin/0000-0003-3477-3047</t>
  </si>
  <si>
    <t>0954-1020</t>
  </si>
  <si>
    <t>1365-2079</t>
  </si>
  <si>
    <t>ANTARCT SCI</t>
  </si>
  <si>
    <t>Antarct. Sci.</t>
  </si>
  <si>
    <t>10.1017/S0954102008001193</t>
  </si>
  <si>
    <t>Environmental Sciences; Geography, Physical; Geosciences, Multidisciplinary</t>
  </si>
  <si>
    <t>Environmental Sciences &amp; Ecology; Physical Geography; Geology</t>
  </si>
  <si>
    <t>320CA</t>
  </si>
  <si>
    <t>WOS:000257210100001</t>
  </si>
  <si>
    <t>The BIOPEARL expedition to the Scotia Sea in 2006</t>
  </si>
  <si>
    <t>10.1017/S095410200800120X</t>
  </si>
  <si>
    <t>WOS:000257210100002</t>
  </si>
  <si>
    <t>Griffiths, HJ; Linse, K; Barnes, DKA</t>
  </si>
  <si>
    <t>Griffiths, Huw J.; Linse, Katrin; Barnes, David K. A.</t>
  </si>
  <si>
    <t>Distribution of macrobenthic taxa across the Scotia Arc, Southern Ocean</t>
  </si>
  <si>
    <t>Antarctica; macrobenthos; phyla; biodiversity; richness</t>
  </si>
  <si>
    <t>SHETLAND ISLANDS; QUANTITATIVE-ANALYSIS; ANTARCTIC PENINSULA; BENTHIC DIVERSITY; DECEPTION ISLAND; PORT FOSTER; ASSEMBLAGES; REGION; SEA; BIODIVERSITY</t>
  </si>
  <si>
    <t>An extremely dynamic chain of archipelagos links South America and the Antarctic Peninsula. It includes islands, which are large and small, old and young, near continental margins and isolated, and well sampled and poorly known. The current study sampled the macrobenthos of all the major archipelagos of this arc at shelf and slope depths using an Agassiz trawl. At least four samples (200 m, 500 m, 1000 m and 1500 m) were taken down-slope at Falkland Trough, Shag Rocks, South Georgia, South Thule, Powell Basin, Elephant Island, and Livingston Island sites and one sample was collected in the caldera of Deception Island. Despite the biogeographical and biodiversity importance of this region, this is the first time (by definition) entire standardized trawl samples have been analysed from all its archipelagos and at any consistent taxonomic level. We found 15 phyla and 29 classes of macro- and megafauna in total across the samples, many of which occurred at all sites. Even at remote and geologically young sites richness was high. Richness increased with abundance and wet mass and was highest in the shallow shelf samples and lowest at 1500 m. Abundance and wet mass varied more than two orders of magnitude, even within classes or study areas. There were strong similarities between the ascidian dominated shallow faunas of the two active volcanic sites, Southern Thule and Deception Island despite huge differences in isolation. There were also strong faunal similarities between Falkland Trough and Shag Rocks despite being on opposing sides of the Polar Front. In contrast two near neighbours with similarly soft substrata, Elephant and Livingston islands were amongst the most dissimilar.</t>
  </si>
  <si>
    <t>[Griffiths, Huw J.; Linse, Katrin; Barnes, David K. A.] British Antarctic Survey, NERC, Cambridge CB3 OET, England</t>
  </si>
  <si>
    <t>Griffiths, HJ (corresponding author), British Antarctic Survey, NERC, High Cross,Madingley Rd, Cambridge CB3 OET, England.</t>
  </si>
  <si>
    <t>hjg@bas.ac.uk</t>
  </si>
  <si>
    <t>Griffiths, Huw J/D-4234-2009</t>
  </si>
  <si>
    <t>Griffiths, Huw J/0000-0003-1764-223X; Linse, Katrin/0000-0003-3477-3047</t>
  </si>
  <si>
    <t>NERC [bas010015] Funding Source: UKRI; Natural Environment Research Council [bas010015] Funding Source: researchfish</t>
  </si>
  <si>
    <t>10.1017/S0954102008001168</t>
  </si>
  <si>
    <t>WOS:000257210100003</t>
  </si>
  <si>
    <t>Linse, K; Walker, LJ; Barnes, DKA</t>
  </si>
  <si>
    <t>Linse, Katrin; Walker, Lisa J.; Barnes, David K. A.</t>
  </si>
  <si>
    <t>Biodiversity of echinoids and their epibionts around the Scotia Arc, Antarctica</t>
  </si>
  <si>
    <t>SOUTH SHETLAND ISLANDS; SEA-URCHIN; STERECHINUS-NEUMAYERI; ABATUS-CORDATUS; ROSS SEA; BENTHIC INVERTEBRATES; ECOLOGICAL SUCCESS; PORT FOSTER; WEDDELL SEA; ECHINODERMATA</t>
  </si>
  <si>
    <t>The Scotia Are, linking the Magellan region with the Antarctic Peninsula, comprises young and old islands both near continents and isolated, and is the only semi-continuous link between cool temperate and Antarctic environments. It is an ideal region for studies on how marine biodiversity changes across an extended transition zone. Echinoids (sea urchins) and their associated epibionts were found across depths from 91-1045 m, with 19 species from shelf and four from slope depths. The 23 species from 38 trawls represent 31% of all echinoid species known from the Southern Ocean and 38% of the shelf/upper slope echinoids. The specimens collected comprise representatives of the five families Cidaridae, Echinidae, Temnopleuridae, Schizasteridae and Pourtalesiidae. Echinoids are probably a good model for how well we know Antarctic shelf and slope megabenthos; none of the species we report are new to science but we found nine (39%) of our study species present at new localities, some thousands of kilometres from previous findings. New biogeographic ranges are illustrated for Ctenocidaris gigantea, C. nutrix, C. spinosa, Abatus curvidens, A. ingens, A. shackletoni, Amphineustes rostratus, Tripylaster philippi and Pourtalesia aurorae. Southern Ocean echinoids show eurybathy as the mean depth range of our study species was 1241 m and only one was at less than 500 m. The current view of echinoid dominance of super-abundance in the shallows seems to be not transferable to shelf and slope depths as only one of 38 trawls was dominated by echinoids. Current knowledge on maximum sizes in Antarctic echinoids seems to be good as our morphometric measurements were mainly within known size ranges. Regular echinoids increased predictably in mass with increasing test length, apart from Ctenocidaris spinosa. Tissue mass of cidaroid species was similar to 17%, but across irregular species varied from 17.7-8.9%. No epibionts were found on irregular echinoids or Echinidae but 70 cidaroids examined carried 51 species representing ten classes. Many of these species are reported as cidaroid epibionts for the first time. Cidaroids and their epibionts constituted &gt; 38% of the total macrofaunal richness in the trawls they were present in. Echinoids and their epibionts clearly contribute significantly to Southern Ocean biodiversity but are minor components of biomass except in the shallows.</t>
  </si>
  <si>
    <t>[Linse, Katrin; Barnes, David K. A.] British Antarctic Survey, NERC, Cambridge CB3 0ET, England; [Walker, Lisa J.] Univ Cambridge, Univ Cambridge Downing Coll, Cambridge CB2 3EJ, England</t>
  </si>
  <si>
    <t>UK Research &amp; Innovation (UKRI); Natural Environment Research Council (NERC); NERC British Antarctic Survey; University of Cambridge</t>
  </si>
  <si>
    <t>Linse, K (corresponding author), British Antarctic Survey, NERC, High Cross,Madingley Rd, Cambridge CB3 0ET, England.</t>
  </si>
  <si>
    <t>kl@bas.ac.uk</t>
  </si>
  <si>
    <t>10.1017/S0954102008001181</t>
  </si>
  <si>
    <t>WOS:000257210100004</t>
  </si>
  <si>
    <t>Strugnell, JM; Collins, MA; Allcock, AL</t>
  </si>
  <si>
    <t>Strugnell, J. M.; Collins, M. A.; Allcock, A. L.</t>
  </si>
  <si>
    <t>Molecular evolutionary relationships of the octopodid genus Thaumeledone (Cephalopoda: Octopodidae) from the Southern Ocean</t>
  </si>
  <si>
    <t>Antarctic Peninsula; intraspecific variation; octopus; Scotia Sea; South Georgia</t>
  </si>
  <si>
    <t>PHYLOGENY</t>
  </si>
  <si>
    <t>Recent trawling in the Southern Ocean has yielded individuals of a number of species of the deep sea octopod genus Thaumeledone. This paper provides the first molecular study of the genus, employing molecular sequences from five mitochondrial (12S rDNA, 16S rDNA, COI, COIII, cytochrome oxidase b) and a single nuclear gene (rhodopsin) and includes representatives of each of the known Southern Ocean species. Thaumeledone rotunda, believed to be circumpolar in distribution and found in relatively deep water is the sister taxa to T gunteri, known only from South Georgia. A notable level of sequence variability was evident between a T peninsulae individual recently captured from the Powell Basin, and two T peninsulae individuals captured from the continental slope, north of the South Shetland Islands. This is likely to represent population level intraspecific variation within this species.</t>
  </si>
  <si>
    <t>[Strugnell, J. M.; Collins, M. A.] British Antarctic Survey, NERC, Cambridge CB3 0ET, England; [Strugnell, J. M.; Allcock, A. L.] Queens Univ Belfast, Sch Biol Sci, Belfast BT9 7BL, Antrim, North Ireland</t>
  </si>
  <si>
    <t>UK Research &amp; Innovation (UKRI); Natural Environment Research Council (NERC); NERC British Antarctic Survey; Queens University Belfast</t>
  </si>
  <si>
    <t>Strugnell, JM (corresponding author), British Antarctic Survey, NERC, High Cross,Madingley Rd, Cambridge CB3 0ET, England.</t>
  </si>
  <si>
    <t>jan.strugnell@gmail.com</t>
  </si>
  <si>
    <t>Allcock, Louise/A-7359-2012; Collins, Martin A/J-8560-2017; , Martin/ABE-6728-2020; Strugnell, Jan/B-1698-2010; Strugnell, Jan M/P-9921-2016; Strugnell, Jan/C-5522-2008</t>
  </si>
  <si>
    <t>Allcock, Louise/0000-0002-4806-0040; , Martin/0000-0001-7132-8650; Strugnell, Jan/0000-0003-2994-637X</t>
  </si>
  <si>
    <t>Natural Environment Research Council [NE/C506321/1] Funding Source: researchfish</t>
  </si>
  <si>
    <t>10.1017/S0954102008001132</t>
  </si>
  <si>
    <t>WOS:000257210100005</t>
  </si>
  <si>
    <t>Rock, J; Costa, FO; Walker, DI; North, AW; Hutchinson, WF; Carvalho, GR</t>
  </si>
  <si>
    <t>Rock, J.; Costa, F. O.; Walker, D. I.; North, A. W.; Hutchinson, W. F.; Carvalho, G. R.</t>
  </si>
  <si>
    <t>DNA barcodes of fish of the Scotia Sea, Antarctica indicate priority groups for taxonomic and systematics focus</t>
  </si>
  <si>
    <t>COI; cyt b; Liparidae; myctophidae; Notothenioidei; Zoarcidae</t>
  </si>
  <si>
    <t>MITOCHONDRIAL PHYLOGENY; SPECIES IDENTIFICATION; NOTOTHENIOIDEI; PERCIFORMES; EVOLUTION; SOFTWARE</t>
  </si>
  <si>
    <t>We analysed cytochrome oxidase I (COI) barcodes for 35 putative fish species collected in the Scotia Sea, and compared the resultant molecular data with field-based morphological identifications, and additional sequence data obtained from GenBank and the Barcode of Life Data System (BOLD). There was high congruence between morphological and molecular classification, and COI provided effective species-level discrimination for nearly all putative species. No effect of geographic sampling was observed for COI sequence variation. For two families, including the Liparidae and Zoarcidae, for which morphological field identification was unable to resolve taxonomy, DNA barcoding revealed significant species-level divergence. However, the dataset lacked sufficient sensitivity for resolving species within the Bathydraco and Artedidraco genera. Analysis of cytochrome b for these two genera also failed to resolve taxonomic identity. The data are discussed in relation to emergent priorities for additional taxonomic studies. We emphasize the utility of DNA barcoding in providing a valuable taxonomic framework for fundamental population studies through assigning life history stages or other morphologically ambiguous samples to parental species.</t>
  </si>
  <si>
    <t>[Rock, J.; Costa, F. O.; Walker, D. I.; North, A. W.; Carvalho, G. R.] Univ Wales, Sch Biol Sci, Mol Ecol &amp; Fisheries Genet Lab, Bangor LL57 2UW, Gwynedd, Wales; [Hutchinson, W. F.] Univ Hull, Dept Biol Sci, Kingston Upon Hull HU6 7RX, N Humberside, England</t>
  </si>
  <si>
    <t>Bangor University; University of Hull</t>
  </si>
  <si>
    <t>Rock, J (corresponding author), Univ Wales, Sch Biol Sci, Mol Ecol &amp; Fisheries Genet Lab, Bangor LL57 2UW, Gwynedd, Wales.</t>
  </si>
  <si>
    <t>j.rock@bangor.ac.uk</t>
  </si>
  <si>
    <t>Costa, Filipe Oliveira/GSD-2439-2022; Costa, Filipe/B-5890-2009; Costa, Filipe/M-9623-2019; 赵, 鹏/B-8401-2009</t>
  </si>
  <si>
    <t>Costa, Filipe Oliveira/0000-0001-5398-3942; Costa, Filipe/0000-0001-5398-3942; Walker, David/0000-0002-6297-464X; Rock, Jenny/0000-0001-7250-6463</t>
  </si>
  <si>
    <t>Natural Environment Research Council [NE/C506464/1] Funding Source: researchfish</t>
  </si>
  <si>
    <t>10.1017/S0954102008001120</t>
  </si>
  <si>
    <t>WOS:000257210100006</t>
  </si>
  <si>
    <t>Barnes, DKA</t>
  </si>
  <si>
    <t>Barnes, David K. A.</t>
  </si>
  <si>
    <t>A benthic richness hotspot in the Southern Ocean: Slope and shelf cryptic benthos of Shag Rocks</t>
  </si>
  <si>
    <t>Antarctica; biogeography; Bryozoa; Polychaeta; Scotia Arc; sub-Antarctic islands</t>
  </si>
  <si>
    <t>SHETLAND ISLANDS; BOUVET ISLAND; BIODIVERSITY; COMMUNITIES; DIVERSITY; ANTARCTICA; BIOGEOGRAPHY; TEMPERATE; BRYOZOANS; BIOMASS</t>
  </si>
  <si>
    <t>Shelf and slope cryptofauna were sampled at the most northerly shelf environments within the Southern Ocean, Shag Rocks. The area is remarkably rich, with seven phyla, 10 classes, 40 families and 81 species on 0.36 m(2) of shelf boulders. A large proportion of genera and species found had not been seen there before, some were new to science and species accumulation curves did not approach an asymptote. Current estimates of benthic diversity are clearly still too low if even well studied locations and depths reveal so much novelty with such little sample effort. Proportions of new species were higher in slope samples showing how little we know of this important depth. Significantly, life was just as rich and, surprisingly, abundant on boulders from continental slope depths. Clearly there are places where the continental slope around Antarctica harbours a wealth of species with potential to resupply the shelf if life was 'bulldozed' off it by past ice shelf expansions during glacial maxima. Some species on boulders from 1500 m also occur as shallow as the Antarctic intertidal zone. That this rich fauna was 'Antarctic' in character shows the extremes, e.g. sea temperature (&gt; 4 degrees C in summer), that they can adapt to given long enough time periods.</t>
  </si>
  <si>
    <t>British Antarctic Survey, NERC, Cambridge CB3 OET, England</t>
  </si>
  <si>
    <t>Barnes, DKA (corresponding author), British Antarctic Survey, NERC, High Cross,Madingley Rd, Cambridge CB3 OET, England.</t>
  </si>
  <si>
    <t>dkab@bas.ac.uk</t>
  </si>
  <si>
    <t>10.1017/S0954102008001089</t>
  </si>
  <si>
    <t>WOS:000257210100007</t>
  </si>
  <si>
    <t>Barnes, DKA; Linse, K; Enderlein, P; Smale, D; Fraser, KPP; Brown, M</t>
  </si>
  <si>
    <t>Barnes, David K. A.; Linse, Katrin; Enderlein, Peter; Smale, Dan; Fraser, Keiron P. P.; Brown, Matt</t>
  </si>
  <si>
    <t>Marine richness and gradients at Deception Island, Antarctica</t>
  </si>
  <si>
    <t>benthos; recolonization; South Shetland islands; volcano; recovery</t>
  </si>
  <si>
    <t>SOUTH-SHETLAND ISLANDS; SUPRABENTHIC ASSEMBLAGES; QUANTITATIVE-ANALYSIS; BRANSFIELD STRAIT; PORT FOSTER; COMMUNITY; TEMPERATE; DIVERSITY; IMPACTS; OCEAN</t>
  </si>
  <si>
    <t>Studies of the recovery of the fauna following the 1967-70 eruptions at Deception Island, South Shetland Islands, have made it one of the best-studied marine sites of the Southern Ocean for biodiversity. Using SCUBA we surveyed the mega- and macro-epifauna of its subtidal zones in the entrance (Neptune's Bellows), immediately inside the caldera (Whaler's Bay) and well within the caldera (Fumarole Bay). Richness declined from 10 phyla, 13 classes and 35 species at Neptune's Bellows to three phyla, four classes and five species in Whaler's Bay and just two phyla, classes and species at Fumarole Bay. Amongst the 35 species we found at Neptune's Bellows, 14 were previously unrecorded from Deception Island. Despite many ship visits and amongst the wannest sea temperatures in the Southern Ocean, the Non Indigenous Species (NIS) algae were not found in our survey. Deception Island has been recolonized considerably since the recent eruptions, but many taxa are still very poorly represented and the colonizers present are mainly those with planktotrophic larvae. Examination of the literature revealed that to date 163 named marine species have been found within the caldera as well as at least 50 more morphospecies, which are yet to be identified. Species accumulation has consistently increased across eight recent samples reported and the number of species reported there is likely to reach 300 when taxa such as the nematodes are identified to species level. This represents a first meaningful total species estimate for an Antarctic marine area and, as the site is comparatively impoverished, indicates how rich the surrounding Antarctic shelf must be.</t>
  </si>
  <si>
    <t>[Barnes, David K. A.; Linse, Katrin; Enderlein, Peter; Smale, Dan; Fraser, Keiron P. P.; Brown, Matt] British Antarctic Survey, NERC, Cambridge CB3 OET, England</t>
  </si>
  <si>
    <t>Smale, Dan A/B-3240-2011; Smale, Daniel/Y-2909-2019</t>
  </si>
  <si>
    <t>Smale, Daniel/0000-0003-4157-541X; Fraser, Keiron/0000-0001-5491-8376; Linse, Katrin/0000-0003-3477-3047</t>
  </si>
  <si>
    <t>Natural Environment Research Council [bas010015, dml011000] Funding Source: researchfish; NERC [dml011000, bas010015] Funding Source: UKRI</t>
  </si>
  <si>
    <t>10.1017/S0954102008001090</t>
  </si>
  <si>
    <t>WOS:000257210100008</t>
  </si>
  <si>
    <t>Kaiser, S; Barnes, DKA; Linse, K; Brandt, A</t>
  </si>
  <si>
    <t>Kaiser, Stefanie; Barnes, David K. A.; Linse, Katrin; Brandt, Angelika</t>
  </si>
  <si>
    <t>Epibenthic macrofauna associated with the shelf and slope of a young and isolated Southern Ocean island</t>
  </si>
  <si>
    <t>Antarctica; biodiversity; dispersal; eurybathy; Isopoda; Mollusca; Southern Thule; South Sandwich Islands</t>
  </si>
  <si>
    <t>LAST GLACIAL MAXIMUM; SCOTIA ARC; WEDDELL SEA; SANDWICH ISLANDS; ANTARCTIC PENINSULA; CRUSTACEAN FAUNA; SHETLAND ISLANDS; DECEPTION ISLAND; 1ST INSIGHTS; PORT FOSTER</t>
  </si>
  <si>
    <t>The remote South Sandwich arc is an archipelago of small volcanic islands and seamounts entirely surrounded by deep water and about 600 km away from the closest island, South Georgia. As some of the youngest islands (&lt; 5 m.y.) in the Southern Ocean they are ideal for studying colonization processes of the seabed by benthic fauna, but are rarely investigated because of remoteness and extreme weather. The current study attempted to quantify the richness and abundance of the epibenthic macrofauna around the Southern Thule group by taking five epibenthic sledge samples along a depth transect including three shelf (one at 300 m and two at 500 m) and two slope stations (1000 and 1500 m). Our aim was to investigate higher taxon richness and community composition in an isolated Antarctic locality, since recent volcanic eruptions between 1964 and 1997. We examined patterns across all epibenthic macrofauna at phylum and class levels, and investigated trends in some model groups of crustaceans to order and family level. We found that abundance was highest in the shallowest sample and decreased with depth. Shelf samples (300 and 500 m) were dominated by molluscs and malacostracans while at the deeper stations (1000 and 1500 m) nematodes were the most abundant taxon. Surprisingly, the shallow shelf was dominated by animals with restricted dispersal abilities, such as direct developing brooders (malacostracans) or those with lecithotrophic larvae (bivalves of the genus Yoldiella, most bryozoan species). Despite Southern Thule's geological youth, recent eruptions, and its remoteness the shallow shelf was rich in higher taxa (phyla/classes) as well as orders and families of our model groups. Future work at higher taxonomic resolution (species level) should greatly increase understanding of how life has reached and established on these young and highly disturbed seabeds.</t>
  </si>
  <si>
    <t>[Kaiser, Stefanie; Brandt, Angelika] Univ Hamburg, Biozentrum Grindel, D-20146 Hamburg, Germany; Univ Hamburg, Zool Museum, D-20146 Hamburg, Germany; [Kaiser, Stefanie; Barnes, David K. A.; Linse, Katrin] British Antarctic Survey, NERC, Cambridge CB3 OET, England</t>
  </si>
  <si>
    <t>University of Hamburg; University of Hamburg; UK Research &amp; Innovation (UKRI); Natural Environment Research Council (NERC); NERC British Antarctic Survey</t>
  </si>
  <si>
    <t>Kaiser, S (corresponding author), Univ Hamburg, Biozentrum Grindel, Martin Luther King Pl 3, D-20146 Hamburg, Germany.</t>
  </si>
  <si>
    <t>stefanie.kaiser@uni-hamburg.de</t>
  </si>
  <si>
    <t>Brandt, Angelika/C-1630-2018</t>
  </si>
  <si>
    <t>Kaiser, Stefanie/0000-0003-2026-4663; Linse, Katrin/0000-0003-3477-3047</t>
  </si>
  <si>
    <t>10.1017/S0954102008001107</t>
  </si>
  <si>
    <t>WOS:000257210100009</t>
  </si>
  <si>
    <t>Pearce, DA</t>
  </si>
  <si>
    <t>Pearce, David A.</t>
  </si>
  <si>
    <t>Biodiversity of the bacterioplankton in the surface waters around Southern Thule in the Southern Ocean</t>
  </si>
  <si>
    <t>bacteria; clone library; sample size; 16S rRNA gene; South Sandwich Islands</t>
  </si>
  <si>
    <t>16S RIBOSOMAL-RNA; COMMUNITY STRUCTURE; PROKARYOTIC DIVERSITY; ARCHAEAL ASSEMBLAGES; BACTERIAL DIVERSITY; GEN. NOV.; DEEP-SEA; MICROORGANISMS; ABUNDANCE; EUROPE</t>
  </si>
  <si>
    <t>Seven independent clone libraries were constructed to study the biodiversity of the bacterioplankton in the surface waters around Southern Thule, South Sandwich Islands, in order to identify the species present, to determine the sample effort required to estimate the total diversity, and to determine whether the surface waters around Southern Thule represented a highly specialized local anomaly or a subset of the marine meta-community. In total, 672 clones generated 629 useable sequences. These 629 clones matched 278 different sequences deposited in the 16S rDNA sequence databases. The majority of the clones were related to marine microorganisms, many of which had been previously detected in permanently cold Arctic and Antarctic marine environments. Each clone library generated an average of 35.8 new sequence matches. 346 clones covered two-thirds of the total estimated diversity, while 438 clones covered three-quarters of the total estimated diversity. Above this number, the coverage tended to stabilize and a relatively large number of additional clones were required to improve coverage significantly, increasing at the rate of about one new sequence match per 100 new clones. Comparing the different clone libraries, eight matches occurred in each of the seven libraries, whilst fifty-five occurred in only one, suggesting that there might be a relatively small number of common dominant ubiquitous species, with a much larger underlying diversity or 'seed bank' from which this dominant diversity is drawn. This study suggests that the dominant bacterioplankton in the surface waters around Southern Thule represent a subset of the marine meta-community, whilst sub-dominant diversity appears to be a highly specialized local anomaly.</t>
  </si>
  <si>
    <t>Pearce, DA (corresponding author), British Antarctic Survey, NERC, High Cross,Madingley Rd, Cambridge CB3 OET, England.</t>
  </si>
  <si>
    <t>dpearce@bas.ac.uk</t>
  </si>
  <si>
    <t>Pearce, David/0000-0001-5292-4596</t>
  </si>
  <si>
    <t>NERC [bas010020] Funding Source: UKRI; Natural Environment Research Council [bas010020] Funding Source: researchfish</t>
  </si>
  <si>
    <t>10.1017/S095410200800117X</t>
  </si>
  <si>
    <t>WOS:000257210100010</t>
  </si>
  <si>
    <t>Allen, CS; Smellie, JL</t>
  </si>
  <si>
    <t>Allen, Claire S.; Smellie, John L.</t>
  </si>
  <si>
    <t>Volcanic features and the hydrological setting of Southern Thule, South Sandwich Islands</t>
  </si>
  <si>
    <t>backarc islands; caldera; glaciovolcanismi; marine geomorphology; Scotia Sea</t>
  </si>
  <si>
    <t>DYNAMICS</t>
  </si>
  <si>
    <t>This paper provides new observations of volcanic features and hydrological characteristics in and around Southern Thule, the southernmost group of islands in the South Sandwich Islands, including the first high-resolution bathymetric image of the Douglas Strait caldera. The South Sandwich Islands are the summits of several very large subduction-related volcanoes constructed at the eastern boundary of the Scotia Sea. Observations of the islands are scarce owing to their remote location and they are only rarely visited, yet the area is an active volcanic are that is rapidly changing as a result of eruptions, including one (on Montagu Island) that has been ongoing for six years and is creating new land. The three islands that make up Southern Thule are morphologically different, and they illustrate different stages in the construction and evolution of islands in the South Sandwich group. We present the results of an acoustic and hydrogmphic survey that resulted in the first high-resolution, multibeam 'swath' image of the submarine Douglas Strait caldera. The results confirm the presence of a large sediment mound (c. 1000 m(3) in volume) on the floor of the Douglas Strait caldera related to a flank collapse of Thule Island. The image also shows an extensive arcuate fault structure, interpreted as evidence that the caldera is nested, and its geomorphological freshness suggests that it is a very young feature that formed conceivably in the last few decades or centuries. The bathymetric image also reveals at least three cone- or mound-like structures within the caldera that may relate to renewed post-caldera volcanism (as pyroclastic cones and/or pillow mounds). Recently formed cones and faults associated with caldera rims are often associated with hydrothermal activity. However, temperature and salinity data collected within the caldera do not yet show any evidence of hydrothermal venting. The ocean surrounding Southern Thule has a prominent surface layer of low salinity water that is probably caused by a high meltwater flux derived from ice caps on the islands. This flux may have been enhanced by the recent wan-ning trend observed in the Antarctic Peninsula, although volcano-related geothermal melting in the ice-filled Thule Island caldera may also contribute to the meltwater flux.</t>
  </si>
  <si>
    <t>[Allen, Claire S.; Smellie, John L.] British Antarctic Survey, NERC, Cambridge CB3 0ET, England</t>
  </si>
  <si>
    <t>Allen, CS (corresponding author), British Antarctic Survey, NERC, High Cross,Madingley Rd, Cambridge CB3 0ET, England.</t>
  </si>
  <si>
    <t>csall@bas.ac.uk</t>
  </si>
  <si>
    <t>Natural Environment Research Council [bas010016] Funding Source: researchfish; NERC [bas010016] Funding Source: UKRI</t>
  </si>
  <si>
    <t>10.1017/S0954102008001156</t>
  </si>
  <si>
    <t>WOS:000257210100011</t>
  </si>
  <si>
    <t>Xiong, YL; Lord, AS</t>
  </si>
  <si>
    <t>Xiong, Yongliang; Lord, Anna Snider</t>
  </si>
  <si>
    <t>Experimental investigations of the reaction path in the MgO-CO2-H2O system in solutions with various ionic strengths, and their applications to nuclear waste isolation</t>
  </si>
  <si>
    <t>APPLIED GEOCHEMISTRY</t>
  </si>
  <si>
    <t>FORMATION MECHANISM; RED-SEA; HYDROMAGNESITE; GEOCHEMISTRY; DEPOSITS; TURKEY; NESQUEHONITE; EQUILIBRIUM; METEORITES; CARBONATES</t>
  </si>
  <si>
    <t>The reaction path in the MgO-CO(2)-H(2)O system at ambient temperatures and atmospheric CO(2) partial pressure(s), especially in high-ionic-strength brines, is of both geological interest and practical significance. Its practical importance lies mainly in the field of nuclear waste isolation. In the USA, industrial-grade MgO, consisting mainly of the mineral periclase, is the only engineered barrier certified by the Environmental Protection Agency (EPA) for emplacement in the Waste Isolation Pilot Plant (WIPP) for defense-related transuranic waste. The German Asse repository will employ a Mg(OH)(2)-based engineered barrier consisting mainly of the mineral brucite. Therefore, the reaction of periclase or brucite with carbonated brines with high-ionic-strength is an important process likely to occur in nuclear waste repositories in salt formations where bulk MgO or Mg(OH)(2) will be employed as an engineered barrier. The reaction path in the system MgO-CO(2)-H(2)O in solutions with a wide range of ionic strengths was investigated experimentally in this study. The experimental results at ambient laboratory temperature and ambient laboratory atmospheric CO(2) partial pressure demonstrate that hydromagnesite (5424) (Mg(5)(CO(3))(4)(OH)(2) center dot 4H(2)O) forms during the carbonation of brucite in a series of solutions with different ionic strengths. In Na-Mg-Cl-dominated brines such as Generic Weep Brine (GWB), a synthetic WIPP Salado Formation brine, Mg chloride hydroxide hydrate (Mg(3)(OH)(5)Cl center dot 4H(2)O) also forms in addition to hydromagnesite (5424). The observation of nesquehonite (MgCO(3) center dot H(2)O) and subsequent appearance of hydromagnesite (5424) in the experiments in a Na-Cl-dominated brine (ERDA-6) at room temperature and P(CO2) = 5 x 10(-2) atm allows estimation of the equilibrium constant (log K) for the following reaction: Mg(5)(CO(3))(4)(OH)(2) center dot 4H(2)O + CO(2)(g) + 10H(2)O = 5MgCO(3) center dot 3H(2)O as similar to 2.5 at 25 degrees C. The logK for the above reaction at 5 degrees C is calculated to be similar to 4.0 by using the Van't Hoff equation. By using these equilibrium constants, the co-existence of hydromagnesite (5424) with nesquehonite in various, natural occurrences such as in weathering products of the meteorites from the Antarctic and serpentine-rich mine tailings, can be well explained. Since the stoichiometric ratio of Mg to C is higher in hydromagnesite (5424) than in nesquehonite, this finding could have important implications for the sequestration of anthropogenic CO(2) in mafic and ultramafic rocks, suggesting that the sequestration of anthropogenic CO(2) is optimal in the stability field of nesquehonite. (C) 2008 Elsevier Ltd. All rights reserved.</t>
  </si>
  <si>
    <t>[Xiong, Yongliang; Lord, Anna Snider] Sandia Natl Labs, Carlsbad Programs Grp, Carlsbad, NM 88220 USA</t>
  </si>
  <si>
    <t>United States Department of Energy (DOE); Sandia National Laboratories</t>
  </si>
  <si>
    <t>Xiong, YL (corresponding author), Sandia Natl Labs, Carlsbad Programs Grp, 4100 Natl Pk Highway, Carlsbad, NM 88220 USA.</t>
  </si>
  <si>
    <t>yxiong@sandia.gov</t>
  </si>
  <si>
    <t>0883-2927</t>
  </si>
  <si>
    <t>APPL GEOCHEM</t>
  </si>
  <si>
    <t>Appl. Geochem.</t>
  </si>
  <si>
    <t>10.1016/j.apgeochem.2007.12.035</t>
  </si>
  <si>
    <t>319AL</t>
  </si>
  <si>
    <t>WOS:000257134000016</t>
  </si>
  <si>
    <t>Ptolemy, P</t>
  </si>
  <si>
    <t>Ptolemy, P.</t>
  </si>
  <si>
    <t>Trees count</t>
  </si>
  <si>
    <t>AUSTRALASIAN ACCOUNTING BUSINESS AND FINANCE JOURNAL</t>
  </si>
  <si>
    <t>There's carbon in the atmosphere, it's rising as we speak. It's past three eighty parts per mil, and heading for a peak. It's higher than it's ever been, than we've ever seen before. Says old air trapped in ice, from an Antarctic core. The Arctic ice is melting, and the sea is on the rise. We've got to slow emissions; we've got to stabilise.</t>
  </si>
  <si>
    <t>[Ptolemy, P.] Univ Wollongong, Fac Sci, Wollongong, NSW, Australia</t>
  </si>
  <si>
    <t>University of Wollongong</t>
  </si>
  <si>
    <t>Ptolemy, P (corresponding author), Univ Wollongong, Fac Sci, Wollongong, NSW, Australia.</t>
  </si>
  <si>
    <t>UNIV WOLLONGONG</t>
  </si>
  <si>
    <t>WOLLONGONG</t>
  </si>
  <si>
    <t>NORTHFIELDS AVE, WOLLONGONG, NSW 2522, AUSTRALIA</t>
  </si>
  <si>
    <t>1834-2000</t>
  </si>
  <si>
    <t>1834-2019</t>
  </si>
  <si>
    <t>AUSTRALAS ACCOUNT BU</t>
  </si>
  <si>
    <t>Australas. Account. Bus. Financ. J.</t>
  </si>
  <si>
    <t>Business, Finance</t>
  </si>
  <si>
    <t>Business &amp; Economics</t>
  </si>
  <si>
    <t>V10LO</t>
  </si>
  <si>
    <t>WOS:000214212300005</t>
  </si>
  <si>
    <t>Kaye, S</t>
  </si>
  <si>
    <t>Kaye, Stuart</t>
  </si>
  <si>
    <t>Looking South: Australia's Antarctic agenda</t>
  </si>
  <si>
    <t>AUSTRALIAN JOURNAL OF PUBLIC ADMINISTRATION</t>
  </si>
  <si>
    <t>Book Review</t>
  </si>
  <si>
    <t>[Kaye, Stuart] Univ Melbourne, Melbourne, Vic 3010, Australia</t>
  </si>
  <si>
    <t>University of Melbourne; Melbourne Bioinformatics</t>
  </si>
  <si>
    <t>Kaye, S (corresponding author), Univ Melbourne, Melbourne, Vic 3010, Australia.</t>
  </si>
  <si>
    <t>Kaye, Stuart/AAA-1778-2019</t>
  </si>
  <si>
    <t>Kaye, Stuart/0000-0003-4498-5537</t>
  </si>
  <si>
    <t>0313-6647</t>
  </si>
  <si>
    <t>AUST J PUBL ADMIN</t>
  </si>
  <si>
    <t>Aust. J. Public Adm.</t>
  </si>
  <si>
    <t>10.1111/j.1467-8500.2008.00584_5.x</t>
  </si>
  <si>
    <t>Public Administration</t>
  </si>
  <si>
    <t>Social Science Citation Index (SSCI)</t>
  </si>
  <si>
    <t>307XB</t>
  </si>
  <si>
    <t>WOS:000256351800014</t>
  </si>
  <si>
    <t>Fox-Hughes, P</t>
  </si>
  <si>
    <t>Fox-Hughes, Paul</t>
  </si>
  <si>
    <t>A fire danger climatology for Tasmania</t>
  </si>
  <si>
    <t>AUSTRALIAN METEOROLOGICAL MAGAZINE</t>
  </si>
  <si>
    <t>AUSTRALIA; WILDFIRE; WEATHER; VARIABILITY</t>
  </si>
  <si>
    <t>Forest fire danger indices are calculated for a number of Tasmanian locations over an extended period. Significant features of the resulting climatology include: the existence of a springtime peak in fire danger in eastern and southeastern Tasmania (although with substantial interannual variability); an apparent trend of increased severity of southeast Tasmanian springtime fire weather events; and differences in diurnal behaviour between the elevated location examined and those at lower levels.</t>
  </si>
  <si>
    <t>[Fox-Hughes, Paul] Bur Meteorol, Tasmania &amp; Antarctica Reg Off, Hobart, Tas 7001, Australia; [Fox-Hughes, Paul] Univ Tasmania, Inst Antarctic &amp; So Ocean Studies, Hobart, Tas 7001, Australia</t>
  </si>
  <si>
    <t>Bureau of Meteorology - Australia; University of Tasmania</t>
  </si>
  <si>
    <t>Fox-Hughes, P (corresponding author), Bur Meteorol, Tasmania &amp; Antarctica Reg Off, GPO Box 727, Hobart, Tas 7001, Australia.</t>
  </si>
  <si>
    <t>p.fox-hughes@bom.gov.au</t>
  </si>
  <si>
    <t>Fox-Hughes, Paul/G-8731-2013</t>
  </si>
  <si>
    <t>Fox-Hughes, Paul/0000-0002-0083-9928</t>
  </si>
  <si>
    <t>AUSTRALIAN BUREAU METEOROLOGY</t>
  </si>
  <si>
    <t>MELBOURNE</t>
  </si>
  <si>
    <t>GPO BOX 1289, MELBOURNE, VIC 3001, AUSTRALIA</t>
  </si>
  <si>
    <t>0004-9743</t>
  </si>
  <si>
    <t>AUST METEOROL MAG</t>
  </si>
  <si>
    <t>Aust. Meteorol. Mag.</t>
  </si>
  <si>
    <t>354BP</t>
  </si>
  <si>
    <t>WOS:000259614200003</t>
  </si>
  <si>
    <t>King, JC; Lachlan-Cope, TA; Ladkin, RS; Weiss, A</t>
  </si>
  <si>
    <t>King, J. C.; Lachlan-Cope, T. A.; Ladkin, R. S.; Weiss, A.</t>
  </si>
  <si>
    <t>Airborne measurements in the stable boundary layer over the Larsen Ice Shelf, Antarctica</t>
  </si>
  <si>
    <t>BOUNDARY-LAYER METEOROLOGY</t>
  </si>
  <si>
    <t>airborne measurements; Antarctic; orographic flows; stable boundary layer</t>
  </si>
  <si>
    <t>PENINSULA; TURBULENCE; SUMMER; PROFILES; SYSTEM; JET</t>
  </si>
  <si>
    <t>We present aircraft measurements of boundary-layer structure and surface turbulent fluxes from a flight over the Larsen Ice Shelf, Antarctica. Warm advection, associated with fohn flow, led to the formation of a stable boundary layer over the ice shelf, with a well-defined low-level jet at the top of the surface inversion. The strong shear associated with the jet kept the gradient Richardson number small and maintained a turbulent boundary layer over a depth of at least 600 m. The net surface energy balance amounted to 52 Wm(-2), equivalent to a melt rate of 13 mm water per day, with net radiation (48 (-2)) making the largest contribution to melt. The contribution from the sensible heat flux (13 Wm(-2)) was largely balanced by an upwards latent heat flux (-9 Wm(-2)). These measurements provide insight into the processes that control surface melt rates in an area that has experienced recent rapid warming and deglaciation.</t>
  </si>
  <si>
    <t>[King, J. C.; Lachlan-Cope, T. A.; Ladkin, R. S.; Weiss, A.] British Antarctic Survey, Cambridge CB3 0ET, England</t>
  </si>
  <si>
    <t>King, JC (corresponding author), British Antarctic Survey, High Cross,Madingley Rd, Cambridge CB3 0ET, England.</t>
  </si>
  <si>
    <t>jcki@bas.ac.uk</t>
  </si>
  <si>
    <t>NERC [bas010014] Funding Source: UKRI; Natural Environment Research Council [bas010014] Funding Source: researchfish</t>
  </si>
  <si>
    <t>0006-8314</t>
  </si>
  <si>
    <t>1573-1472</t>
  </si>
  <si>
    <t>BOUND-LAY METEOROL</t>
  </si>
  <si>
    <t>Bound.-Layer Meteor.</t>
  </si>
  <si>
    <t>10.1007/s10546-008-9271-4</t>
  </si>
  <si>
    <t>294HL</t>
  </si>
  <si>
    <t>WOS:000255396900003</t>
  </si>
  <si>
    <t>Redd, KS; Jarman, SN; Frusher, SD; Johnson, CR</t>
  </si>
  <si>
    <t>Redd, K. S.; Jarman, S. N.; Frusher, S. D.; Johnson, C. R.</t>
  </si>
  <si>
    <t>A molecular approach to identify prey of the southern rock lobster</t>
  </si>
  <si>
    <t>BULLETIN OF ENTOMOLOGICAL RESEARCH</t>
  </si>
  <si>
    <t>Conference on Molecular Approaches to Study Trophic Interactions</t>
  </si>
  <si>
    <t>Univ Innsbruck, Innsbruck, AUSTRIA</t>
  </si>
  <si>
    <t>Univ Innsbruck</t>
  </si>
  <si>
    <t>Jasus edwardsii; Haliotis rubra; polymerase chain reaction (PCR); prey detection; rock lobster diet</t>
  </si>
  <si>
    <t>DNA-BASED IDENTIFICATION; PANULIRUS-CYGNUS GEORGE; JASUS-LALANDII; NATURAL DIET; SEA-URCHINS; FOOD-WEBS; PREDATORS; DECAPODA; ABALONE; FISHES</t>
  </si>
  <si>
    <t>We demonstrate the use of molecular techniques to detect specific prey consumed by the southern rock lobster (Jasus edwardsii). A quick and non-lethal method was used to collect rock lobster faecal material and a molecular protocol was employed to isolate prey DNA from faecal samples. The isolated DNA was amplified using the polymerase chain reaction (PCR) with PCR primers designed to target specific prey items. Feeding experiments determined that DNA from black-lipped abalone (Haliotis rubra) and sea urchins (Centrostephanus rodgersii and Heliocidaris erythrogramma) can be detected in rock lobster faecal samples within seven hours and remains present for up to 60h after ingestion.</t>
  </si>
  <si>
    <t>[Redd, K. S.; Johnson, C. R.] Univ Tasmania, Sch Zool, Hobart, Tas 7001, Australia; [Jarman, S. N.] Australian Antarctic Div, Dept Environm &amp; Heritage, Kingston, Tas 7050, Australia; [Redd, K. S.; Frusher, S. D.] Univ Tasmania, Tasmanian Aquaculture &amp; Fisheries Inst, Marine Res Labs, Hobart, Tas 7001, Australia</t>
  </si>
  <si>
    <t>University of Tasmania; Australian Antarctic Division; University of Tasmania</t>
  </si>
  <si>
    <t>Redd, KS (corresponding author), Univ Tasmania, Sch Zool, Private Bag 5, Hobart, Tas 7001, Australia.</t>
  </si>
  <si>
    <t>ksredd@utas.edu.au</t>
  </si>
  <si>
    <t>Jarman, Simon/H-9265-2016; Johnson, Craig/E-1788-2013; Frusher, Stewart/G-5117-2014</t>
  </si>
  <si>
    <t>Jarman, Simon/0000-0002-0792-9686; Johnson, Craig/0000-0002-9511-905X; Frusher, Stewart/0000-0003-2493-3676</t>
  </si>
  <si>
    <t>CAMBRIDGE</t>
  </si>
  <si>
    <t>EDINBURGH BLDG, SHAFTESBURY RD, CB2 8RU CAMBRIDGE, ENGLAND</t>
  </si>
  <si>
    <t>0007-4853</t>
  </si>
  <si>
    <t>B ENTOMOL RES</t>
  </si>
  <si>
    <t>Bull. Entomol. Res.</t>
  </si>
  <si>
    <t>10.1017/S0007485308005981</t>
  </si>
  <si>
    <t>Entomology</t>
  </si>
  <si>
    <t>348TS</t>
  </si>
  <si>
    <t>Green Accepted, Green Submitted</t>
  </si>
  <si>
    <t>WOS:000259233600004</t>
  </si>
  <si>
    <t>Dunshea, G; Barros, NB; Wells, RS; Gales, NJ; Hindell, MA; Jarman, SN</t>
  </si>
  <si>
    <t>Dunshea, G.; Barros, N. B.; Wells, R. S.; Gales, N. J.; Hindell, M. A.; Jarman, S. N.</t>
  </si>
  <si>
    <t>Pseudogenes and DNA-based diet analyses: a cautionary tale from a relatively well sampled predator-prey system</t>
  </si>
  <si>
    <t>fecal analysis; NUMT; PCR; prey detection; Tursiops truncatus</t>
  </si>
  <si>
    <t>MITOCHONDRIAL-DNA; NUCLEAR GENOME; IDENTIFICATION; AMPLIFICATION; INSERTIONS; DIVERSITY; INFERENCE; MTDNA</t>
  </si>
  <si>
    <t>Mitochondrial ribosomal DNA is commonly used in DNA-based dietary analyses. In such Studies, these sequences are generally assumed to be the only version present in DNA of the organism of interest. However, nuclear pseudogenes that display variable similarity to the mitochondrial versions are common in many taxa. The presence of nuclear pseudogenes that co-amplify with their mitochondrial paralogues can lead to several possible confounding interpretations when applied to estimating animal diet. Here, we investigate the occurrence of nuclear pseudogenes in fecal samples taken from bottlenose dolphins (Tursiops truncatus) that were assayed for prey DNA with a universal primer technique. We found pseudogenes in 13 of 15 samples and 1-5 pseudogene haplotypes per sample representing 5-100% of all amplicons produced. The proportion of amplicons that were pseudogenes and the diversity of prey DNA recovered per sample were highly variable and appear to be related to PCR cycling characteristics. This is a well-sampled system where we call reliably identify the putative pseudogenes and separate them from their mitochondrial paralogues using a number of recommended means. In many other cases, it would be virtually impossible to determine whether a putative prey sequence is actually a pseudogene derived from either the predator or prey DNA. The implications of this for DNA-based dietary studies, in general, are discussed.</t>
  </si>
  <si>
    <t>[Dunshea, G.; Hindell, M. A.] Univ Tasmania, Sch Zool, Antarctic Wildlife Res Unit, Hobart, Tas 7005, Australia; [Dunshea, G.; Gales, N. J.; Jarman, S. N.] Australian Antarctic Div, Appl Marine Mammal Ecol Grp, Kingston, Tas 7050, Australia; [Wells, R. S.] Mote Marine Lab, Chicago Zool Soc, Sarasota, FL 34236 USA</t>
  </si>
  <si>
    <t>University of Tasmania; Australian Antarctic Division; Mote Marine Laboratory &amp; Aquarium</t>
  </si>
  <si>
    <t>Dunshea, G (corresponding author), Univ Tasmania, Sch Zool, Antarctic Wildlife Res Unit, POB 252-05, Hobart, Tas 7005, Australia.</t>
  </si>
  <si>
    <t>glenn.dunshea@aad.gov.au</t>
  </si>
  <si>
    <t>Hindell, Mark A/K-1131-2013; Hindell, Mark A/C-8368-2013; Jarman, Simon/H-9265-2016</t>
  </si>
  <si>
    <t>Jarman, Simon/0000-0002-0792-9686; Hindell, Mark/0000-0002-7823-7185; Dunshea, Glenn/0000-0002-8683-0181</t>
  </si>
  <si>
    <t>1475-2670</t>
  </si>
  <si>
    <t>10.1017/S0007485308005993</t>
  </si>
  <si>
    <t>Green Submitted, Green Accepted</t>
  </si>
  <si>
    <t>WOS:000259233600005</t>
  </si>
  <si>
    <t>Wang, HJ; Sun, JQ; Su, JZ</t>
  </si>
  <si>
    <t>Wang HuiJun; Sun JianQi; Su JingZhi</t>
  </si>
  <si>
    <t>The northern annular mode: More zonal symmetric than the southern annular mode</t>
  </si>
  <si>
    <t>CHINESE SCIENCE BULLETIN</t>
  </si>
  <si>
    <t>zonal asymmetry; Arctic oscillation; Antarctic oscillation; southern oscillation</t>
  </si>
  <si>
    <t>ANTARCTIC OSCILLATION; ARCTIC OSCILLATION; VARIABILITY; TEMPERATURE; INDEX</t>
  </si>
  <si>
    <t>Fan (2007) recently documented the zonal asymmetry of the Antarctic oscillation (AAO) in the austral winter. In this research, the zonal asymmetry of the northern annular mode, or the Arctic oscillation (AO), in the interannual variability is studied for the boreal winter. It is shown that there is zonal asymmetry of the AO as well, similar to the case of the Antarctic oscillation (AAO). However, the zonal asymmetry of the AO is considerably weaker than that of the AAO. This is far beyond the speculation, since the zonal asymmetry of the geography is larger in the Northern Hemisphere than the Southern Hemisphere. The Western and Eastern Hemispheres portions of the AO are correlated at 0.54 for 1959-1998, comparing with 0.23 for the case of the AAO. The authors also discussed the physical reason for this inter-hemispheric difference, and partly attributed it to the El Nino and Southern Oscillation (ENSO) cycle which may be represented by the SO index. It is indicated that the SO associated sea-level pressure (SLID) patterns are more zonal symmetric in the high latitudes of the Northern Hemisphere than the Southern Hemisphere.</t>
  </si>
  <si>
    <t>[Wang HuiJun; Sun JianQi] Chinese Acad Sci, Inst Atmospher Phys, Beijing 100029, Peoples R China; [Su JingZhi] Chinese Acad Meteorol Sci, Beijing 100081, Peoples R China</t>
  </si>
  <si>
    <t>Chinese Academy of Sciences; Institute of Atmospheric Physics, CAS; China Meteorological Administration; Chinese Academy of Meteorological Sciences (CAMS)</t>
  </si>
  <si>
    <t>Wang, HJ (corresponding author), Chinese Acad Sci, Inst Atmospher Phys, Beijing 100029, Peoples R China.</t>
  </si>
  <si>
    <t>wanghj@mail.iap.ac.cn</t>
  </si>
  <si>
    <t>1001-6538</t>
  </si>
  <si>
    <t>CHINESE SCI BULL</t>
  </si>
  <si>
    <t>Chin. Sci. Bull.</t>
  </si>
  <si>
    <t>10.1007/s11434-008-0114-y</t>
  </si>
  <si>
    <t>305OR</t>
  </si>
  <si>
    <t>WOS:000256188200017</t>
  </si>
  <si>
    <t>Hu, ZZ; Huang, B; Pegion, K</t>
  </si>
  <si>
    <t>Hu, Zeng-Zhen; Huang, Bohua; Pegion, Kathy</t>
  </si>
  <si>
    <t>Leading patterns of the tropical Atlantic variability in a coupled general circulation model</t>
  </si>
  <si>
    <t>CLIMATE DYNAMICS</t>
  </si>
  <si>
    <t>OCEAN-ATMOSPHERE MODEL; SEA-SURFACE TEMPERATURE; SOUTHERN-HEMISPHERE ATMOSPHERE; EL-NINO; EXTRATROPICAL CIRCULATION; SYNCHRONOUS VARIABILITY; CLIMATE VARIABILITY; DECADAL VARIABILITY; FORECAST SYSTEM; EASTERN PACIFIC</t>
  </si>
  <si>
    <t>This paper examines the mean annual cycle, interannual variability, and leading patterns of the tropical Atlantic Ocean simulated in a long-term integration of the climate forecast system (CFS), a state-of-the-art coupled general circulation model presently used for operational climate prediction at the National Centers for Environmental Prediction. By comparing the CFS simulation with corresponding observation-based analyses or reanalyses, it is shown that the CFS captures the seasonal mean climate, including the zonal gradients of sea surface temperature (SST) in the equatorial Atlantic Ocean, even though the CFS produces warm mean biases and underestimates the variability over the southeastern ocean. The seasonal transition from warm to cold phase along the equator is delayed 1 month in the CFS compared with the observations. This delay might be related to the failure of the model to simulate the cross-equatorial meridional wind associated with the African monsoon. The CFS also realistically simulates both the spatial structure and spectral distributions of the three major leading patterns of the SST anomalies in the tropical Atlantic Ocean: the south tropical Atlantic pattern (STA), the North tropical Atlantic pattern (NTA), and the southern subtropical Atlantic pattern (SSA). The CFS simulates the seasonal dependence of these patterns and partially reproduces their association with the El Nino-Southern Oscillation. The dynamical and thermodynamical processes associated with these patterns in the simulation and the observations are similar. The air-sea interaction processes associated with the STA pattern are well simulated in the CFS. The primary feature of the anomalous circulation in the Northern Hemisphere (NH) associated with the NTA pattern resembles that in the Southern Hemisphere (SH) linked with the SSA pattern, implying a similarity of the mechanisms in the evolution of these patterns and their connection with the tropical and extratropical anomalies in their respective hemispheres. The anomalies associated with both the SSA and NTA patterns are dominated by atmospheric fluctuations of equivalent-barotropic structure in the extratropics including zonally symmetric and asymmetric components. The zonally symmetric variability is associated with the annular modes, the Arctic Oscillation in the NH and the Antarctic Oscillation in the SH. The zonally asymmetric part of the anomalies in the Atlantic is teleconnected with the anomalies over the tropical Pacific. The misplaced teleconnection center over the southern subtropical ocean may be one of the reasons for the deformation of the SSA pattern in the CFS.</t>
  </si>
  <si>
    <t>[Hu, Zeng-Zhen; Huang, Bohua; Pegion, Kathy] Ctr Ocean Land Atmosphere Studies, Beltsville, MD 20705 USA; [Huang, Bohua] George Mason Univ, Coll Sci, Dept Climate Dynam, Fairfax, VA 22030 USA</t>
  </si>
  <si>
    <t>George Mason University</t>
  </si>
  <si>
    <t>Hu, ZZ (corresponding author), Ctr Ocean Land Atmosphere Studies, 4041 Powder Mill Rd,Suite 302, Beltsville, MD 20705 USA.</t>
  </si>
  <si>
    <t>hu@cola.iges.org</t>
  </si>
  <si>
    <t>Pegion, Kathy/E-1525-2013; Hu, Zeng-Zhen/B-4373-2011; Huang, Bohua/KBD-4133-2024</t>
  </si>
  <si>
    <t>Pegion, Kathy/0000-0001-5820-7678; Hu, Zeng-Zhen/0000-0002-8485-3400; Huang, Bohua/0000-0003-4869-3849</t>
  </si>
  <si>
    <t>0930-7575</t>
  </si>
  <si>
    <t>CLIM DYNAM</t>
  </si>
  <si>
    <t>Clim. Dyn.</t>
  </si>
  <si>
    <t>7-8</t>
  </si>
  <si>
    <t>10.1007/s00382-007-0318-x</t>
  </si>
  <si>
    <t>289YT</t>
  </si>
  <si>
    <t>WOS:000255090500003</t>
  </si>
  <si>
    <t>Kolstad, EW; Bracegirdle, TJ</t>
  </si>
  <si>
    <t>Kolstad, Erik W.; Bracegirdle, Thomas J.</t>
  </si>
  <si>
    <t>Marine cold-air outbreaks in the future: an assessment of IPCC AR4 model results for the Northern Hemisphere</t>
  </si>
  <si>
    <t>POLAR-LOW DEVELOPMENT; ARCTIC SEA-ICE; LABRADOR-SEA; THERMOHALINE CIRCULATION; INTERANNUAL VARIABILITY; CLIMATE; DRIVEN; GULF; MECHANISM; HURRICANE</t>
  </si>
  <si>
    <t>For many locations around the globe some of the most severe weather is associated with outbreaks of cold air over relatively warm oceans, referred to here as marine cold-air outbreaks (MCAOs). Drawing on empirical evidence, an MCAO indicator is defined here as the difference between the skin potential temperature, which over open ocean is the sea surface potential temperature, and the potential temperature at 700 hPa. Rare MCAOs are defined as the 95th percentile of this indicator. Climate model data that have been provided as part of the Intergovernmental Panel on Climate Change (IPCC) Assessment Report Four (AR4) were used to assess the models' projections for the twenty-first century and their ability to represent the observed climatology of MCAOs. The ensemble average of the models broadly captures the observed spatial distribution of the strength of MCAOs. However, there are some significant differences between the models and observations, which are mainly associated with simulated biases of the underlying sea ice, such as excessive sea-ice extent over the Barents Sea in most of the models. The future changes of the strength of MCAOs vary significantly across the Northern Hemisphere. The largest projected weakening of MCAOs is over the Labrador Sea. Over the Nordic seas the main region of strong MCAOs will move north and weaken slightly as it moves away from the warm tongue of the Gulf Stream in the Norwegian Sea. Over the Sea of Japan there is projected to be only a small weakening of MCAOs. The implications of the results for mesoscale weather systems that are associated with MCAOs, namely polar lows and arctic fronts, are discussed.</t>
  </si>
  <si>
    <t>[Kolstad, Erik W.] Bjerknes Ctr Climate Res, N-5007 Bergen, Norway; [Bracegirdle, Thomas J.] British Antarctic Survey, Cambridge CB3 0ET, England</t>
  </si>
  <si>
    <t>Bjerknes Centre for Climate Research; UK Research &amp; Innovation (UKRI); Natural Environment Research Council (NERC); NERC British Antarctic Survey</t>
  </si>
  <si>
    <t>Kolstad, EW (corresponding author), Bjerknes Ctr Climate Res, Allegaten 70, N-5007 Bergen, Norway.</t>
  </si>
  <si>
    <t>gbsek@uib.no</t>
  </si>
  <si>
    <t>Kolstad, Erik/A-2311-2015; Kolstad, Erik Olsøybakk/GYJ-6310-2022; Bracegirdle, Tom/AAD-6060-2020</t>
  </si>
  <si>
    <t>Kolstad, Erik/0000-0001-5394-9541;</t>
  </si>
  <si>
    <t>NERC [bas010013] Funding Source: UKRI; Natural Environment Research Council [bas010013] Funding Source: researchfish</t>
  </si>
  <si>
    <t>1432-0894</t>
  </si>
  <si>
    <t>10.1007/s00382-007-0331-0</t>
  </si>
  <si>
    <t>WOS:000255090500014</t>
  </si>
  <si>
    <t>Mignone, BK; Socolow, RH; Sarmiento, JL; Oppenheimer, M</t>
  </si>
  <si>
    <t>Mignone, Bryan K.; Socolow, Robert H.; Sarmiento, Jorge L.; Oppenheimer, Michael</t>
  </si>
  <si>
    <t>Atmospheric stabilization and the timing of carbon mitigation</t>
  </si>
  <si>
    <t>CLIMATIC CHANGE</t>
  </si>
  <si>
    <t>ANTARCTIC ICE-SHEET; CLIMATE-CHANGE; CO2 CONCENTRATIONS; POLICY; STABILITY; OCEAN; MODEL</t>
  </si>
  <si>
    <t>Stabilization of atmospheric CO2 concentrations below a pre-industrial doubling (similar to 550 ppm) is a commonly cited target in climate policy assessment. When the rate at which future emissions can fall is assumed to be fixed, the peak atmospheric concentration - or the stabilization frontier - is an increasing and convex function of the length of postponement. Here we find that a decline in emissions of 1% year(-1) beginning today would place the frontier near 475 ppm and that when mitigation is postponed, options disappear (on average) at the rate of similar to 9 ppm year(-1), meaning that delays of more than a decade will likely preclude stabilization below a doubling. When constraints on the future decline rate of emissions are relaxed, a particular atmospheric target can be realized in many ways, with scenarios that allow longer postponement of emissions reductions requiring greater increases in the intensity of future mitigation. However, the marginal rate of substitution between future mitigation and present delay becomes prohibitively large when the balance is shifted too far toward the future, meaning that some amount of postponement cannot be fully offset by simply increasing the intensity of future mitigation. Consequently, these results suggest that a practical transition path to a given stabilization target in the most commonly cited range can allow, at most, one or two decades of delay.</t>
  </si>
  <si>
    <t>[Mignone, Bryan K.] Brookings Inst, Foreign Policy Studies Program, Washington, DC 20036 USA; [Socolow, Robert H.] Princeton Univ, Dept Mech &amp; Aerosp Engn, Princeton, NJ 08544 USA; [Sarmiento, Jorge L.] Princeton Univ, Atmospher &amp; Ocean Sci Program, Princeton, NJ 08544 USA; [Oppenheimer, Michael] Princeton Univ, Woodrow Wilson Sch Publ &amp; Int Affairs, Princeton, NJ 08544 USA; [Oppenheimer, Michael] Princeton Univ, Dept Geosci, Princeton, NJ 08544 USA</t>
  </si>
  <si>
    <t>Brookings Institution; Princeton University; National Oceanic Atmospheric Admin (NOAA) - USA; Princeton University; Princeton University; Princeton University</t>
  </si>
  <si>
    <t>Mignone, BK (corresponding author), Brookings Inst, Foreign Policy Studies Program, Washington, DC 20036 USA.</t>
  </si>
  <si>
    <t>bmignone@brookings.edu</t>
  </si>
  <si>
    <t>Oppenheimer, Michael/0000-0002-9708-5914</t>
  </si>
  <si>
    <t>0165-0009</t>
  </si>
  <si>
    <t>Clim. Change</t>
  </si>
  <si>
    <t>10.1007/s10584-007-9391-8</t>
  </si>
  <si>
    <t>Environmental Sciences; Meteorology &amp; Atmospheric Sciences</t>
  </si>
  <si>
    <t>Environmental Sciences &amp; Ecology; Meteorology &amp; Atmospheric Sciences</t>
  </si>
  <si>
    <t>309QU</t>
  </si>
  <si>
    <t>WOS:000256476100002</t>
  </si>
  <si>
    <t>Hornig, G; Northcott, K; Snape, I; Stevens, G</t>
  </si>
  <si>
    <t>Hornig, Gabriele; Northcott, Kathy; Snape, Ian; Stevens, Geoff</t>
  </si>
  <si>
    <t>Assessment of sorbent materials for treatment of hydrocarbon contaminated ground water in cold regions</t>
  </si>
  <si>
    <t>COLD REGIONS SCIENCE AND TECHNOLOGY</t>
  </si>
  <si>
    <t>5th International Conference on Contaminants in Freezing Ground</t>
  </si>
  <si>
    <t>MAY 21-25, 2006</t>
  </si>
  <si>
    <t>Oslo, NORWAY</t>
  </si>
  <si>
    <t>permeable reactive barriers; hydrocarbons; groundwater; granular activated carbon; surfactant modified zeolite</t>
  </si>
  <si>
    <t>PERMEABLE REACTIVE BARRIERS; SURFACTANT MODIFIED ZEOLITE; NATURAL ZEOLITE; SORPTION; ANTARCTICA; CARBON</t>
  </si>
  <si>
    <t>In this investigation different sorbent materials (MYCELX coated sand, granular activated carbon (GAC) and surfactant-modifed zeolite (SMZ)) were tested for their suitability for capture of sparingly soluble hydrocarbons in soil water. These materials were assessed for their potential use in permeable reactive barriers in cold regions. Batch sorption tests at 20 degrees C and 4 degrees C were performed along with a number of surface characterization techniques, including thermogravimetric analysis, nitrogen adsorption and Fourier transform infrared analysis (FTIR). ionic strength and pH tests were also conducted to detennine their impact on hydrocarbon sorption. The results of the surface characterization tests showed that the quality of the MYCELX coating on the sand was highly variable, thus leading to unreliable adsorption results. GAC proved to be the best sorbent material at high and low temperatures on a mass basis. However, on a surface area basis, SMZ performed better than GAC. High ionic strength and high and low pH had little effect for hydrocarbon sorption onto GAC and SMZ. Both GAC and SMZ exhibited reduced adsorption efficiency at 4 degrees C compared to 20 degrees C. The extent of the reduced adsorption efficiency varied depending on the hydrocarbon. (c) 2007 Elsevier B. V. All rights reserved.</t>
  </si>
  <si>
    <t>[Northcott, Kathy; Stevens, Geoff] Univ Melbourne, Particulate Fluids Proc Ctr, Melbourne, Vic 3010, Australia; [Hornig, Gabriele] Tech Univ Munich, D-80333 Munich, Germany; [Snape, Ian] Australian Antarctic Div, Kingston, Tas 7050, Australia</t>
  </si>
  <si>
    <t>University of Melbourne; Melbourne Bioinformatics; Technical University of Munich; Australian Antarctic Division</t>
  </si>
  <si>
    <t>Stevens, G (corresponding author), Univ Melbourne, Particulate Fluids Proc Ctr, Melbourne, Vic 3010, Australia.</t>
  </si>
  <si>
    <t>gstevens@unimelb.edu.au</t>
  </si>
  <si>
    <t>Stevens, Geoffrey/0000-0002-5788-4682</t>
  </si>
  <si>
    <t>0165-232X</t>
  </si>
  <si>
    <t>COLD REG SCI TECHNOL</t>
  </si>
  <si>
    <t>Cold Reg. Sci. Tech.</t>
  </si>
  <si>
    <t>SI</t>
  </si>
  <si>
    <t>10.1016/j.coldregions.2007.08.004</t>
  </si>
  <si>
    <t>Engineering, Environmental; Engineering, Civil; Geosciences, Multidisciplinary</t>
  </si>
  <si>
    <t>Engineering; Geology</t>
  </si>
  <si>
    <t>322YT</t>
  </si>
  <si>
    <t>WOS:000257411900007</t>
  </si>
  <si>
    <t>Christensen, KE</t>
  </si>
  <si>
    <t>Christensen, Kaneen E.</t>
  </si>
  <si>
    <t>Observations of fuel transport on sea ice from two fuel release events, with relevance to site assessment and closure</t>
  </si>
  <si>
    <t>sea ice; fuel-release; antarctica; AN-8; new ice; multi-year ice</t>
  </si>
  <si>
    <t>The use and distribution of fossil fuels, particularly Antarctic-8 (AN-8), a kerosene-based fuel blended with anti-gelling additives, significantly supports United States Antarctic Program (USAP) operations. Despite best fuel management practices, two large-scale (greater than 7000 L) fuel releases have occurred as point source releases from the flexible fuel line connecting McMurdo Station, Antarctica to the early summer airfield. The first release resulted in the loss of approximately 26,500 L of AN-8 onto the sea ice surface through a 1.37-meter (in) snow cover. The second fuel release occurred in a subsequent year and resulted in the loss of approximately 8300 L of AN-8 onto the sea ice surface through a 0.15 in snow cover. In both fuel release events, the fuel migrated through the snow cover to the sea ice, dispersed across the surface of the sea ice along the snow-sea ice interface. Two conditions primarily affected fuel migration, extent of sea ice contamination, and incident fuel recovery in the large-scale fuel releases: 1) sea ice age and associated properties and 2) the amount of snow coverage and handling of contaminated snow at the site(s). Sea ice core samples analyzed for total petroleum hydrocarbons (TPH) concentration were used to determine the extent of fuel infiltration and contamination to the sea ice. (c) 2007 Elsevier B.V All rights reserved.</t>
  </si>
  <si>
    <t>US Antarctic Program Contractor Raytheon Polar Se, Centennial, CO USA</t>
  </si>
  <si>
    <t>Christensen, KE (corresponding author), US Antarctic Program Contractor Raytheon Polar Se, Centennial, CO USA.</t>
  </si>
  <si>
    <t>kaneen.christensen@usap.gov</t>
  </si>
  <si>
    <t>10.1016/j.coldregions.2007.06.001</t>
  </si>
  <si>
    <t>WOS:000257411900008</t>
  </si>
  <si>
    <t>Ferguson, SH; Powell, SM; Snape, I; Gibson, JAE; Franzmann, PD</t>
  </si>
  <si>
    <t>Ferguson, Susan H.; Powell, Shane M.; Snape, Ian; Gibson, John A. E.; Franzmann, Peter D.</t>
  </si>
  <si>
    <t>Effect of temperature on the microbial ecology of a hydrocarbon-contaminated Antarctic soil: Implications for high temperature remediation</t>
  </si>
  <si>
    <t>biodegradation; microcosms; petroleum contamination; Paenibacillus spp.; Pseudomonas spp. DGGE</t>
  </si>
  <si>
    <t>PHOSPHOLIPID FATTY-ACIDS; SALT-MARSH PLANTS; DEGRADING BACTERIA; FAMILY HALOMONADACEAE; COMMUNITY ANALYSIS; FUEL SPILLS; CRUDE-OIL; SP NOV.; DEGRADATION; BIODEGRADATION</t>
  </si>
  <si>
    <t>A series of nutrient-amended microcosms was used to investigate changing microbial communities during biodegradation in hydrocarbon-contaminated Antarctic soils at 4, 10 and 42 degrees C. Although sample heterogeneity resulted in no statistically significant reduction in total petroleum hydrocarbons, biodegradation ratios indicate significant mineralisation. The number of culturable bacterial grown at 4 and 10 degrees C increased from 3 x 10(5) g(-1) dry soil then peaked after 5 days incubation at 5 x 10(7) g(-1) dry soil, before decreasing to and remaining stable at ca. 2 x 10(7) g(-1) dry soil. While the bacterial population grown at 42 degrees C was initially a minor constituent of the total culturable bacterial population, after 40 days there was similar numbers of bacteria estimated at all temperatures investigated. Denaturing gradient gel clectrophoresis indicated significant differences in the microbial community between the 4 and 10 degrees C and the 42 degrees C microcosms. Numerically dominant culturable hydrocarbon degrading bacteria were isolated at each temperature; 16S rRNA gene sequences identified the 4 and 10 degrees C isolates as Pseudomonas spp., and the 42 T isolates as Paenibacillus spp. Fatty acid methyl ester profiles of the cultures were consistent with these identifications. The results from this study indicate that bioremediation treatments will substantially alter the soil microbial ecosystem. All isolates from this study were capable of growth at 28 degrees C. The presence of autochthonous hydrocarbon degrading microbes capable of growth at higher temperatures introduces the possibility of in situ remediation treatment options involving heating (ca. 10-28 degrees C) to accelerate the rate of hydrocarbon degradation. (c) 2007 Elsevier B.V All rights reserved.</t>
  </si>
  <si>
    <t>[Ferguson, Susan H.; Snape, Ian] Australian Govt Antarctic Div, Dept Environm &amp; Heritage, Kingston, Tas 7050, Australia; [Powell, Shane M.] Univ Tasmania, Hobart, Tas 7001, Australia; [Gibson, John A. E.] CSIRO Marine Res, Hobart, Tas 7001, Australia; [Franzmann, Peter D.] CSIRO Land &amp; Water, Floreat, WA 6014, Australia</t>
  </si>
  <si>
    <t>Australian Antarctic Division; University of Tasmania; Commonwealth Scientific &amp; Industrial Research Organisation (CSIRO); Commonwealth Scientific &amp; Industrial Research Organisation (CSIRO)</t>
  </si>
  <si>
    <t>Ferguson, SH (corresponding author), Australian Govt Antarctic Div, Dept Environm &amp; Heritage, 203 Channel Highway, Kingston, Tas 7050, Australia.</t>
  </si>
  <si>
    <t>Susan.Ferguson@aad.gov.au</t>
  </si>
  <si>
    <t>Powell, Shane M/C-2391-2014</t>
  </si>
  <si>
    <t>Powell, Shane/0000-0001-5082-1630</t>
  </si>
  <si>
    <t>10.1016/j.coldregions.2007.04.006</t>
  </si>
  <si>
    <t>WOS:000257411900010</t>
  </si>
  <si>
    <t>Kiss, AJ; Cheng, CHC</t>
  </si>
  <si>
    <t>Kiss, Andor J.; Cheng, C. -H. Christina</t>
  </si>
  <si>
    <t>Molecular diversity and genomic organisation of the α, β and γ eye lens crystallins from the Antarctic toothfish Dissostichus mawsoni</t>
  </si>
  <si>
    <t>COMPARATIVE BIOCHEMISTRY AND PHYSIOLOGY D-GENOMICS &amp; PROTEOMICS</t>
  </si>
  <si>
    <t>lens; crystallins; Antarctic toothfish; alpha; beta; gamma; cDNA; genome organisation; bacterial artificial chromosome; Tetraodon</t>
  </si>
  <si>
    <t>CHAPERONE-LIKE ACTIVITY; B-CRYSTALLIN; PHASE-SEPARATION; MULTIGENE FAMILY; A-CRYSTALLIN; S-CRYSTALLIN; EXPRESSION; ZEBRAFISH; SEQUENCE; CLONING</t>
  </si>
  <si>
    <t>The eye lens of the Antarctic toothfish living in the -2 degrees C Southern Ocean is cold-stable. To investigate the molecular basis of this cold stability, we isolated, cloned and sequenced 22 full length crystallin cDNAs. We found two alpha crystallins (alpha A, alpha B), six beta crystallins (beta A1, beta A2, beta A4, beta B1, beta B2, beta B3) and 14 gamma crystallins (gamma N, gamma S1, gamma S2, gamma M1, gamma M3, gamma M4, gamma M5, gamma M7, gamma M8a, beta M8b, gamma M8c, gamma M8d, gamma M8e, and gamma M9). Alignments of alpha, beta and gamma with other known cry tallin sequences indicate that toothfish alpha and beta crystallins are relatively conserved orthologues of their vertebrate counterparts, but the toothfish and other fish gamma M crystallins form a distinct group that are not orthologous to mammalian gamma crystallins. A preliminary Fingerprinted Contig analysis of clones containing crystallin genes screened from a toothfish BAC library indicated alpha crystallin genes occurred in a single genomic region of similar to 266 kbp, beta crystallin genes in similar to 273 kbp, while the gamma crystallin gene family occurred in two separate regions of similar to 180 and similar to 296 kbp. In phylogenetic analysis, the gamma M isoforms of the ectothermic toothfish displayed a diversity not seen with endothermic mammalian gamma crystallins. Similar to other fishes, several toothfish gamma crystallins are methionine-rich (gamma M isoforms) which may have predisposed the toothfish lens to biochemically attenuate gamma crystallin hydrophobicity allowing for cold adaptation. In addition to high methionine content, conservation of alpha beta crystallins both in sequence and abundance suggests greater functional constraints relative to gamma crystallins. Conversely, reduced constraints upon gamma crystallins could have allowed for greater evolutionary plasticity resulting in increased polydispersity of gamma crystallins contributing to the cold-stability of the Antarctic toothfish lens. (c) 2008 Elsevier Inc. All rights reserved.</t>
  </si>
  <si>
    <t>[Kiss, Andor J.; Cheng, C. -H. Christina] Univ Illinois, Dept Anim Biol, Urbana, IL 61801 USA</t>
  </si>
  <si>
    <t>University of Illinois System; University of Illinois Urbana-Champaign</t>
  </si>
  <si>
    <t>Kiss, AJ (corresponding author), Miami Univ, Dept Zool, Lab Ecophysiol Cryobiol, Oxford, OH 45056 USA.</t>
  </si>
  <si>
    <t>kissaj@muohio.edu</t>
  </si>
  <si>
    <t>Kiss, Andor J/E-9863-2016</t>
  </si>
  <si>
    <t>Kiss, Andor J/0000-0002-7508-0485</t>
  </si>
  <si>
    <t>STE 800, 230 PARK AVE, NEW YORK, NY 10169 USA</t>
  </si>
  <si>
    <t>1744-117X</t>
  </si>
  <si>
    <t>1878-0407</t>
  </si>
  <si>
    <t>COMP BIOCHEM PHYS D</t>
  </si>
  <si>
    <t>Comp. Biochem. Physiol. D-Genomics Proteomics</t>
  </si>
  <si>
    <t>10.1016/j.cbd.2008.02.002</t>
  </si>
  <si>
    <t>Biochemistry &amp; Molecular Biology; Genetics &amp; Heredity</t>
  </si>
  <si>
    <t>317UJ</t>
  </si>
  <si>
    <t>WOS:000257045300002</t>
  </si>
  <si>
    <t>Jackson, GA</t>
  </si>
  <si>
    <t>Jackson, George A.</t>
  </si>
  <si>
    <t>Effect of mixed layer depth on phytoplankton removal by coagulation and on the critical depth concept</t>
  </si>
  <si>
    <t>DEEP-SEA RESEARCH PART I-OCEANOGRAPHIC RESEARCH PAPERS</t>
  </si>
  <si>
    <t>coagulation; critical concentration; critical depth; mixed layer; particle flux</t>
  </si>
  <si>
    <t>SUB-ARCTIC PACIFIC; AQUATIC ENVIRONMENTS; LIGHT LIMITATION; BLOOM; MODEL; AGGREGATION; OCEAN</t>
  </si>
  <si>
    <t>Coagulation theory predicts that there is a maximum particle concentration that is sustainable in an algal bloom; the critical depth theory of Sverdrup [Sverdrup, H.U., 1953. On conditions for the vernal blooming of phytoplankton. journal du Conseil/Conseil International pour P Exploration de la Mer 18, 287-295.] predicts a different maximum particle concentration based on light-limitation of phytoplankton growth. This paper uses a model incorporating both coagulation and light-limited algal growth to predict the effect of mixed layer depth and wind velocity on maximum phytoplankton populations. As part of this process, the critical concentration parameter is compared to the results of full coagulation simulations. Including phytoplankton aggregation decreases the maximum phytoplankton concentration but increases the rate of particle export through sedimentation. The results help explain field observations made in the Antarctic Ocean. They also suggest that the accuracy of the critical concentration parameter depends on the average shear rate. (c) 2008 Elsevier Ltd. All rights reserved.</t>
  </si>
  <si>
    <t>Texas A&amp;M Univ, Dept Oceanog, College Stn, TX 77843 USA</t>
  </si>
  <si>
    <t>Texas A&amp;M University System; Texas A&amp;M University College Station</t>
  </si>
  <si>
    <t>Jackson, GA (corresponding author), Texas A&amp;M Univ, Dept Oceanog, College Stn, TX 77843 USA.</t>
  </si>
  <si>
    <t>gjackson@tamu.edu</t>
  </si>
  <si>
    <t>0967-0637</t>
  </si>
  <si>
    <t>DEEP-SEA RES PT I</t>
  </si>
  <si>
    <t>Deep-Sea Res. Part I-Oceanogr. Res. Pap.</t>
  </si>
  <si>
    <t>10.1016/j.dsr.2008.03.004</t>
  </si>
  <si>
    <t>320RP</t>
  </si>
  <si>
    <t>WOS:000257253000004</t>
  </si>
  <si>
    <t>ReVelle, DO</t>
  </si>
  <si>
    <t>ReVelle, Douglas O.</t>
  </si>
  <si>
    <t>Acoustic-gravity waves from bolide sources</t>
  </si>
  <si>
    <t>EARTH MOON AND PLANETS</t>
  </si>
  <si>
    <t>Meteoroids Conference 2007</t>
  </si>
  <si>
    <t>JUN 11-15, 2007</t>
  </si>
  <si>
    <t>CosmoCaixa Sci Museum, Barcelona, SPAIN</t>
  </si>
  <si>
    <t>CosmoCaixa Sci Museum</t>
  </si>
  <si>
    <t>bolides; atmospheric acoustic-gravity waves; Revelstoke meteorite</t>
  </si>
  <si>
    <t>We have developed a new approach to modeling the acoustic-gravity wave (AGW) radiation from bolide sources. This first effort involves entry modeling of bolide sources that have available satellite data through procedures developed in ReVelle (Earth Moon Planets 95, 441-476, 2004a; in: A. Milani, G. Valsecchi, D. Vokrouhlicky (eds) NEO Fireball Diversity: Energetics-based Entry Modeling and Analysis Techniques, Near-earth Objects: Our Celestial Neighbors (IAU S236), 2007b). Results from the entry modeling are directly coupled to AGW production through line source blast wave theory for the initial wave amplitude and period at x = 10 (at 10 blast wave radii and perpendicular to the trajectory). The second effort involves the prediction of the formation and or dominance of the propagation of the atmospheric Lamb, edge-wave composite mode in a viscous fluid (Pierce, J. Acoust. Soc. Amer. 35, 1798-1807, 1963) as a function of the source energy, horizontal range and source altitude using the Lamb wave frequency that was deduced directly during the entry modeling and that is used as a surrogate for the source energy. We have also determined that Lamb wave production by bolides at close range decreases dramatically as either the source energy decreases or the source altitude increases. Finally using procedures in Gill (Atmospheric-Ocean Dynamics, 1982) and in Tolstoy (Wave Propagation, 1973), we have analyzed two simple dispersion relationships and have calculated the expected dispersion for the Lamb edge-wave mode and for the excited, propagating internal acoustic waves. Finally, we have used the above formalism to fully evaluate these techniques for four large bolides, namely: the Tunguska bolide of June 30, 1908; the Revelstoke bolide of March 31, 1965; the Crete bolide of June 6, 2002 and the Antarctic bolide of September 3, 2004. Due to page limitations, we will only present results in detail for the Revelstoke bolide.</t>
  </si>
  <si>
    <t>Los Alamos Natl Lab, Div Earth &amp; Environm Sci, Atmospher Climate &amp; Environm Dynam Grp, Los Alamos, NM 87545 USA</t>
  </si>
  <si>
    <t>United States Department of Energy (DOE); Los Alamos National Laboratory</t>
  </si>
  <si>
    <t>ReVelle, DO (corresponding author), Los Alamos Natl Lab, Div Earth &amp; Environm Sci, Atmospher Climate &amp; Environm Dynam Grp, POB 1663, Los Alamos, NM 87545 USA.</t>
  </si>
  <si>
    <t>revelle@lanl.gov</t>
  </si>
  <si>
    <t>0167-9295</t>
  </si>
  <si>
    <t>1573-0794</t>
  </si>
  <si>
    <t>EARTH MOON PLANETS</t>
  </si>
  <si>
    <t>Earth Moon Planets</t>
  </si>
  <si>
    <t>1-4</t>
  </si>
  <si>
    <t>10.1007/s11038-007-9181-3</t>
  </si>
  <si>
    <t>Astronomy &amp; Astrophysics; Geosciences, Multidisciplinary</t>
  </si>
  <si>
    <t>Astronomy &amp; Astrophysics; Geology</t>
  </si>
  <si>
    <t>278BQ</t>
  </si>
  <si>
    <t>WOS:000254258900049</t>
  </si>
  <si>
    <t>Genge, MJ</t>
  </si>
  <si>
    <t>Genge, Matthew J.</t>
  </si>
  <si>
    <t>Micrometeorites and their implications for meteors</t>
  </si>
  <si>
    <t>micrometeorites; meteors; asteroid; comet</t>
  </si>
  <si>
    <t>COSMIC SPHERULES; ANTARCTIC MICROMETEORITES; ATMOSPHERIC ENTRY; INTERPLANETARY DUST; ACCRETION RATE; BLUE ICE; COLLECTION; MINERALOGY</t>
  </si>
  <si>
    <t>Micrometeorites (MMs) are extraterrestrial dust particles, in the size range 25-400 mu m, recovered from the Earth's surface. They have experienced a wide range of heating during atmospheric entry from completely molten spherules to particles heated to temperatures &lt; 300 degrees C that have retained low temperature minerals. The majority of MMs have mineralogies, textures and compositions that strongly resemble components from chondritic meteorites suggesting these correspond to sporadic, low geocentric velocity meteors. Changes in MMs due to entry heating, however, have implications for meteoric processes in general that may allow the observed behaviour of meteors to be directly related to the material properties of their meteoroids.</t>
  </si>
  <si>
    <t>[Genge, Matthew J.] Museum Nat Hist, Dept Mineral, London SW7 2BT, England; [Genge, Matthew J.] Univ London Imperial Coll Sci Technol &amp; Med, Dept Earth Sci &amp; Engn, Impact &amp; Astromat Res Ctr, London SW7 2AZ, England</t>
  </si>
  <si>
    <t>Natural History Museum London; Imperial College London</t>
  </si>
  <si>
    <t>Genge, MJ (corresponding author), Museum Nat Hist, Dept Mineral, Cromwell Rd, London SW7 2BT, England.</t>
  </si>
  <si>
    <t>10.1007/s11038-007-9185-z</t>
  </si>
  <si>
    <t>WOS:000254258900068</t>
  </si>
  <si>
    <t>Smale, DA; Barnes, DKA</t>
  </si>
  <si>
    <t>Smale, Dan A.; Barnes, David K. A.</t>
  </si>
  <si>
    <t>Likely responses of the Antarctic benthos to climate-related changes in physical disturbance during the 21st century, based primarily on evidence from the West Antarctic Peninsula region</t>
  </si>
  <si>
    <t>ECOGRAPHY</t>
  </si>
  <si>
    <t>SUBLITTORAL EPIFAUNAL COMMUNITIES; KING GEORGE ISLAND; SOUTHERN-OCEAN; SIGNY ISLAND; ICE-SCOUR; SEA-ICE; MCMURDO SOUND; ROSS SEA; CONTRASTING SITES; ADELAIDE ISLAND</t>
  </si>
  <si>
    <t>Disturbance has always shaped the evolution and ecology of organisms and nowhere is this more apparent that on the iceberg gouged continental shelves of the Antarctic Peninsula (AP). The vast majority of currently described polar biodiversity occurs on the Southern Ocean shelf but current and projected climate change is rapidly altering disturbance intensities in some regions. The AP is now amongst the fastest warming and changing regions on earth. Seasonal sea ice has decreased in time and extent, most glaciers in the region have retreated, a number of ice shelves have collapsed, and the surface waters of the seas west of the AP have warmed. Here, we review the influences of disturbance from ice, sedimentation, freshening events, wave action and humans on shallow water benthic assemblages, and suggest how disturbance pressures will change during the 21st century in the West Antarctic Peninsula (WAP) and Scotia Arc region. We suggest that the intensity of ice scouring will increase in the region over the next few decades as a result of decreased winter sea ice periods and increased ice loading into coastal waters. Thus, the most frequently disturbed environment on earth will become more so, which will lead to considerable changes in community structure and species distributions. However, as ice fronts retreat past their respective grounding lines, sedimentation and freshening events will become relatively more important. Human presence in the region is increasing, through research, tourism, and resource exploitation, which represents a considerable threat to polar biodiversity over the next century. Adapting to or tolerating multiple, changing environmental stressors will be difficult for a fauna with typically slow generation turnovers that has evolved largely in isolation. We suggest that intensifying acute and chronic disturbances are likely to cause significant changes in ecosystem structure, and probably a considerable loss of polar marine biodiversity, over relatively short timescales.</t>
  </si>
  <si>
    <t>[Smale, Dan A.; Barnes, David K. A.] British Antarctic Survey, Nat Environm Res Council, Cambridge CB3 0ET, England</t>
  </si>
  <si>
    <t>Smale, DA (corresponding author), British Antarctic Survey, Nat Environm Res Council, High Cross,Madingley Rd, Cambridge CB3 0ET, England.</t>
  </si>
  <si>
    <t>dasma@bas.ac.uk</t>
  </si>
  <si>
    <t>Smale, Daniel/0000-0003-4157-541X</t>
  </si>
  <si>
    <t>NERC [dml011000, bas010015] Funding Source: UKRI; Natural Environment Research Council [dml011000, bas010015] Funding Source: researchfish</t>
  </si>
  <si>
    <t>0906-7590</t>
  </si>
  <si>
    <t>1600-0587</t>
  </si>
  <si>
    <t>Ecography</t>
  </si>
  <si>
    <t>10.1111/j.0906-7590.2008.05456.x</t>
  </si>
  <si>
    <t>309YO</t>
  </si>
  <si>
    <t>WOS:000256496300001</t>
  </si>
  <si>
    <t>Fulgentini, L; Marangoni, R; Colombetti, G</t>
  </si>
  <si>
    <t>Fulgentini, Lorenzo; Marangoni, Roberto; Colombetti, Giuliano</t>
  </si>
  <si>
    <t>Optimizing soluble protein extraction and two-dimensional polyacrylamide gel electrophoresis quality for extremophile ciliates</t>
  </si>
  <si>
    <t>ELECTROPHORESIS</t>
  </si>
  <si>
    <t>ciliates; 2-d PAGE; extraction protocol; extremophiles; soluble proteins</t>
  </si>
  <si>
    <t>An efficient protein extraction methodology is quite important for sample preparation and subsequent 2-D PAGE and MS analysis. Cell lysis is the first step in protein extraction and purification. Many techniques are available for cell disruption, including physical and detergent-based methods. Here, we report on a very fast and efficient detergent-free Tris-based method to extract the soluble fraction proteins of extremophile ciliates, comparing it with a detergent-based protocol. This comparison has been carried out by means of 2-D PAGE and subsequent MALDI-compatible silver staining of protein samples obtained from the intensely pigmented hypersaline ciliate Fabrea salina and the Antarctic hypotrich ciliate Euplotes focardii. Our results indicate that this fast and easy extraction method allows to obtain more clear crude extracts and more spot-abundant polyacrylamide gels.</t>
  </si>
  <si>
    <t>[Fulgentini, Lorenzo; Marangoni, Roberto; Colombetti, Giuliano] CNR, Ist Biofis, I-56124 Pisa, Italy; [Fulgentini, Lorenzo] Univ Piemonte Orientale Amedeo Avogadro, Dipartimento Sci Vita &amp; Ambiente, Alessandria, Italy; [Marangoni, Roberto] Univ Pisa, Dipartimento Informat, Pisa, Italy</t>
  </si>
  <si>
    <t>Consiglio Nazionale delle Ricerche (CNR); Istituto di Biofisica (IBF-CNR); University of Eastern Piedmont Amedeo Avogadro; University of Pisa</t>
  </si>
  <si>
    <t>Marangoni, R (corresponding author), CNR, Ist Biofis, Via Giuseppe Moruzzi 1, I-56124 Pisa, Italy.</t>
  </si>
  <si>
    <t>marangon@di.unipi.it</t>
  </si>
  <si>
    <t>Marangoni, Roberto/0000-0002-6603-6984</t>
  </si>
  <si>
    <t>WILEY-V C H VERLAG GMBH</t>
  </si>
  <si>
    <t>WEINHEIM</t>
  </si>
  <si>
    <t>PO BOX 10 11 61, D-69451 WEINHEIM, GERMANY</t>
  </si>
  <si>
    <t>0173-0835</t>
  </si>
  <si>
    <t>Electrophoresis</t>
  </si>
  <si>
    <t>10.1002/elps.200700838</t>
  </si>
  <si>
    <t>Biochemical Research Methods; Chemistry, Analytical</t>
  </si>
  <si>
    <t>Biochemistry &amp; Molecular Biology; Chemistry</t>
  </si>
  <si>
    <t>317HV</t>
  </si>
  <si>
    <t>WOS:000257011600021</t>
  </si>
  <si>
    <t>Lubick, N</t>
  </si>
  <si>
    <t>Lubick, Naomi</t>
  </si>
  <si>
    <t>DDT levels in Antarctic penguins present a complex mystery</t>
  </si>
  <si>
    <t>ENVIRONMENTAL SCIENCE &amp; TECHNOLOGY</t>
  </si>
  <si>
    <t>0013-936X</t>
  </si>
  <si>
    <t>ENVIRON SCI TECHNOL</t>
  </si>
  <si>
    <t>Environ. Sci. Technol.</t>
  </si>
  <si>
    <t>JUN 1</t>
  </si>
  <si>
    <t>10.1021/es087118g</t>
  </si>
  <si>
    <t>Engineering, Environmental; Environmental Sciences</t>
  </si>
  <si>
    <t>Engineering; Environmental Sciences &amp; Ecology</t>
  </si>
  <si>
    <t>306UW</t>
  </si>
  <si>
    <t>WOS:000256274300003</t>
  </si>
  <si>
    <t>Geisz, HN; Dickhut, RM; Cochran, MA; Fraser, WR; Ducklow, HW</t>
  </si>
  <si>
    <t>Geisz, Heidi N.; Dickhut, Rebecca M.; Cochran, Michele A.; Fraser, William R.; Ducklow, Hugh W.</t>
  </si>
  <si>
    <t>Melting glaciers: A probable source of DDT to the Antarctic marine ecosystem</t>
  </si>
  <si>
    <t>PENGUINS PYGOSCELIS-ADELIAE; BREEDING-SEASON; ORGANOCHLORINE POLLUTANTS; TEMPORAL TRENDS; SEABIRD EGGS; FOOD-WEB; PESTICIDES; RESIDUES; CONTAMINATION; METABOLISM</t>
  </si>
  <si>
    <t>Persistent organic pollutants reach polar regions by long-range atmospheric transport and biomagnify through the food web accumulating in higher trophic level predators. We analyzed Adelie penguin (Pygoscelis adeliae) samples collected from 2004 to 2006 to evaluate current levels of Sigma DDT (p,p'-DDT + p,p'-DDE) in these birds, which are confined to Antarctica. Ratios of p,p'-DDT to p,p'-DDE in Adelie penguins have declined significantly since 1964 indicating current exposure to old rather than new sources of Sigma DDT. However, Sigma DDT has not declined in Adelie penguins from the Western Antarctic Peninsula for more than 30 years and the presence of p,p'-DDT in these birds indicates that there is a current source of DDT to the Antarctic marine food web. DDT has been banned or severely restricted since peak use in the 1970s, implicating glacier meltwater as a likely source for DDT contamination in coastal Antarctic seas. Our estimates indicate that 1-4 kg.y(-1) Sigma DDT are currently being released into coastal waters along the Western Antarctic Ice Sheet due to glacier ablation.</t>
  </si>
  <si>
    <t>[Geisz, Heidi N.] Virginia Inst Marine Sci, Coll William &amp; Mary, Gloucester Point, VA 23062 USA; [Fraser, William R.] Polar Oceans Res Grp, Sheridan, MT 59749 USA; [Ducklow, Hugh W.] Marine Biol Lab, Ctr Ecosyst, Woods Hole, MA 02543 USA</t>
  </si>
  <si>
    <t>William &amp; Mary; Virginia Institute of Marine Science; Marine Biological Laboratory - Woods Hole</t>
  </si>
  <si>
    <t>Geisz, HN (corresponding author), Virginia Inst Marine Sci, Coll William &amp; Mary, Gloucester Point, VA 23062 USA.</t>
  </si>
  <si>
    <t>heidig@vims.edu</t>
  </si>
  <si>
    <t>Directorate For Geosciences; Office of Polar Programs (OPP) [0823101] Funding Source: National Science Foundation</t>
  </si>
  <si>
    <t>Directorate For Geosciences; Office of Polar Programs (OPP)(National Science Foundation (NSF)NSF - Directorate for Geosciences (GEO))</t>
  </si>
  <si>
    <t>1520-5851</t>
  </si>
  <si>
    <t>10.1021/es702919n</t>
  </si>
  <si>
    <t>WOS:000256274300013</t>
  </si>
  <si>
    <t>Wolff, EW</t>
  </si>
  <si>
    <t>Wolff, Eric W.</t>
  </si>
  <si>
    <t>The past 800 ka viewed through Antarctic ice cores</t>
  </si>
  <si>
    <t>EPISODES</t>
  </si>
  <si>
    <t>17th Congress of the International-Union-for-Quaternary-Research</t>
  </si>
  <si>
    <t>JUL 28-AUG 03, 2007</t>
  </si>
  <si>
    <t>Cairns, AUSTRALIA</t>
  </si>
  <si>
    <t>CLIMATE VARIABILITY</t>
  </si>
  <si>
    <t>The later parts of the Quaternary are of particular importance for assessing out ability to understand the future operation of the Earth because the main boundary conditions are similar to those of today, and because we have a density of data that allows hypotheses to be tested rigorously. An. important source of such data is Antarctic ice cores, now extending back 800 ka, and containing signals both of climate, and of climate forcing factors. The Antarctic ice core deuterium record, representing Antarctic temperature, is one of the iconic Quaternary records. It shows, in common with other palaeoclimate records such as the marine benthic isotope stack, a dominant 100 ka periodicity of short warm interglacials and long, cold, glacial periods. There appear to be two different styles of interglacial. Within the glacials a millennial scale variability is dominant, manifested as the rapid Dansgaard-Oeschger events it? the north, and as subdued out-of-phase counterparts in the south. The trace gases, carbon dioxide and methane, also show a remarkably similar pattern to that of the climate records. They certainly played a role in amplifying small changes in insolation into large climate swings, and their signals are diagnostic of the operation of different processes in the ocean and the terrestrial biosphere.</t>
  </si>
  <si>
    <t>British Antarctic Survey, Cambridge CB3 0ET, England</t>
  </si>
  <si>
    <t>Wolff, EW (corresponding author), British Antarctic Survey, Madingley Rd, Cambridge CB3 0ET, England.</t>
  </si>
  <si>
    <t>ewwo@bas.ac.uk</t>
  </si>
  <si>
    <t>Wolff, Eric W/D-7925-2014</t>
  </si>
  <si>
    <t>Wolff, Eric W/0000-0002-5914-8531</t>
  </si>
  <si>
    <t>GEOLOGICAL SOC KOREA</t>
  </si>
  <si>
    <t>SEOUL</t>
  </si>
  <si>
    <t>KOREA SCIENCE &amp; TECHNOLOGY CTR, RM 813, 7 GIL 22, TEHERAN- RO, GANGNAM-GUNA, SEOUL, 06130, SOUTH KOREA</t>
  </si>
  <si>
    <t>0705-3797</t>
  </si>
  <si>
    <t>Episodes</t>
  </si>
  <si>
    <t>10.18814/epiiugs/2008/v31i2/005</t>
  </si>
  <si>
    <t>340TY</t>
  </si>
  <si>
    <t>hybrid</t>
  </si>
  <si>
    <t>WOS:000258669100005</t>
  </si>
  <si>
    <t>Dorador, C; Vila, I; Imhoff, JF; Witzel, KP</t>
  </si>
  <si>
    <t>Dorador, Cristina; Vila, Irma; Imhoff, Johannes F.; Witzel, Karl-Paul</t>
  </si>
  <si>
    <t>Cyanobacterial diversity in Salar de Huasco, a high altitude saline wetland in northern Chile: an example of geographical dispersion?</t>
  </si>
  <si>
    <t>FEMS MICROBIOLOGY ECOLOGY</t>
  </si>
  <si>
    <t>16S rRNA gene; andean altiplano; Antarctica; cyanobacterial diversity; athalassohaline water bodies</t>
  </si>
  <si>
    <t>RIBOSOMAL-RNA SEQUENCES; MICROBIAL MATS; BENTHIC CYANOBACTERIA; STRAINS; OSCILLATORIALES; COMMUNITIES; POPULATIONS; ANABAENA; ECOLOGY; ATACAMA</t>
  </si>
  <si>
    <t>The diversity of Cyanobacteria in water and sediment samples from four representative sites of the Salar de Huasco was examined using denaturing gradient gel electrophoresis and analysis of clone libraries of 16S rRNA gene PCR products. Salar de Huasco is a high altitude (3800 m altitude) saline wetland located in the Chilean Altiplano. We analyzed samples from a tributary stream (H0) and three shallow lagoons (H1, H4, H6) that contrasted in their physicochemical conditions and associated biota. Seventy-eight phylotypes were identified in a total of 268 clonal sequences deriving from seven clone libraries of water and sediment samples. Oscillatoriales were frequently found in water samples from sites H0, H1 and H4 and in sediment samples from sites H1 and H4. Pleurocapsales were found only at site H0, while Chroococcales were recovered from sediment samples of sites H0 and H1, and from water samples of site H1. Nostocales were found in sediment samples from sites H1 and H4, and water samples from site H1 and were largely represented by sequences highly similar to Nodularia spumigena. We suggest that cyanobacterial communities from Salar de Huasco are unique - they include sequences related to others previously described from the Antarctic, along with others from diverse, but less extreme environments.</t>
  </si>
  <si>
    <t>[Dorador, Cristina; Witzel, Karl-Paul] Max Planck Inst Evolut Biol, Plon, Germany; [Dorador, Cristina; Imhoff, Johannes F.] Leibniz Inst Marine Sci, Kiel, Germany; [Vila, Irma] Univ Chile, Fac Sci, Santiago, Chile</t>
  </si>
  <si>
    <t>Max Planck Society; Helmholtz Association; GEOMAR Helmholtz Center for Ocean Research Kiel; Universidad de Chile</t>
  </si>
  <si>
    <t>Dorador, C (corresponding author), Univ Cattolica Norte Angamos, Ctr Biotechnol, Antofagasta 0610, Chile.</t>
  </si>
  <si>
    <t>cdorado@ucn.cl</t>
  </si>
  <si>
    <t>Imhoff, Johannes F./AAB-8765-2022; Dorador, Cristina/C-3914-2009; Imhoff, Johannes F./D-2515-2010; Dorador, Cristina/M-9936-2019</t>
  </si>
  <si>
    <t>Imhoff, Johannes F./0000-0001-8789-0728; Imhoff, Johannes F./0000-0001-8789-0728; Dorador, Cristina/0000-0002-7641-2154</t>
  </si>
  <si>
    <t>OXFORD UNIV PRESS</t>
  </si>
  <si>
    <t>GREAT CLARENDON ST, OXFORD OX2 6DP, ENGLAND</t>
  </si>
  <si>
    <t>0168-6496</t>
  </si>
  <si>
    <t>1574-6941</t>
  </si>
  <si>
    <t>FEMS MICROBIOL ECOL</t>
  </si>
  <si>
    <t>FEMS Microbiol. Ecol.</t>
  </si>
  <si>
    <t>10.1111/j.1574-6941.2008.00483.x</t>
  </si>
  <si>
    <t>Microbiology</t>
  </si>
  <si>
    <t>297UZ</t>
  </si>
  <si>
    <t>Green Accepted, Bronze</t>
  </si>
  <si>
    <t>WOS:000255644200009</t>
  </si>
  <si>
    <t>Waluda, CM; Griffiths, HJ; Rodhouse, PG</t>
  </si>
  <si>
    <t>Waluda, Claire M.; Griffiths, Huw J.; Rodhouse, Paul G.</t>
  </si>
  <si>
    <t>Remotely sensed spatial dynamics of the Illex argentinus fishery, Southwest Atlantic</t>
  </si>
  <si>
    <t>FISHERIES RESEARCH</t>
  </si>
  <si>
    <t>DMSP-OLS; ecosystem variability; Patagonian shelf; satellite remote sensing; squid</t>
  </si>
  <si>
    <t>FALKLAND-ISLANDS; PATAGONIAN SHELF; FISHING FLEET; LOLIGO-GAHI; SQUID; OMMASTREPHIDAE; CEPHALOPODA; LIGHT; OCEANOGRAPHY; MANAGEMENT</t>
  </si>
  <si>
    <t>Illex argentinus, the Argentine short-finned squid, is an important species within the Patagonian shelf ecosystem, where it supports a major multi-national fishery. The fishing fleet operating in this region is comprised of jigging vessels which attract squid using powerful incandescent lights. These fishing lights are detectable in remotely sensed satellite imagery which makes the fishery unusually amenable to a large-scale analysis of its spatial dynamics. In this paper, long-term inter-annual variability in fleet distribution and extent is examined using imagery from the Defence Meteorological Satellite Program-Operational Linescan System (DMSP-OLS) for the period 1993-2005. The fishery was found to occupy a wide area across the shelf and slope, with regions of consistent fishing activity observed on the high seas (45-47 degrees S) and to the north of the Falkland Islands (Malvinas). Distribution of the fishery over the 13-year study period was variable, with 28% of the fished area occupied in 1-2 years, and 7% of the area occupied in 12-13 years. Annual catch levels were positively associated with the extent of the area occupied by the fleet. Higher catches corresponded to the fishery occupying a wide latitudinal range, whereas lower catches were observed during 2004 and 2005 corresponding to a contraction of the fishery away from the south of its range. In years of very high catches, fishing took place along almost the entire latitudinal range of the species. Due to the intensity of fishing, changes in the distribution of the fleet can reflect shifts in the distribution of L argentinus; this has potential for the long-term monitoring of this highly variable squid fishery. (C) 2007 Elsevier B.V. All rights reserved.</t>
  </si>
  <si>
    <t>[Waluda, Claire M.; Griffiths, Huw J.; Rodhouse, Paul G.] British Antarctic Survey, NERC, Cambridge CB3 0ET, England</t>
  </si>
  <si>
    <t>Waluda, CM (corresponding author), British Antarctic Survey, NERC, High Cross,Madingley Rd, Cambridge CB3 0ET, England.</t>
  </si>
  <si>
    <t>clwa@bas.ac.uk</t>
  </si>
  <si>
    <t>Griffiths, Huw J/0000-0003-1764-223X; Rodhouse, Paul/0000-0001-5399-967X</t>
  </si>
  <si>
    <t>NERC [bas010017] Funding Source: UKRI; Natural Environment Research Council [bas010017] Funding Source: researchfish</t>
  </si>
  <si>
    <t>0165-7836</t>
  </si>
  <si>
    <t>1872-6763</t>
  </si>
  <si>
    <t>FISH RES</t>
  </si>
  <si>
    <t>Fish Res.</t>
  </si>
  <si>
    <t>2-3</t>
  </si>
  <si>
    <t>10.1016/j.fishres.2007.11.027</t>
  </si>
  <si>
    <t>Fisheries</t>
  </si>
  <si>
    <t>311CR</t>
  </si>
  <si>
    <t>WOS:000256578300010</t>
  </si>
  <si>
    <t>Chugunova, OM; Pilipenko, VA; Shalimov, SL; Engebretson, M</t>
  </si>
  <si>
    <t>Chugunova, O. M.; Pilipenko, V. A.; Shalimov, S. L.; Engebretson, M.</t>
  </si>
  <si>
    <t>Periodic modulation of Pc3 and Pc4 pulsations in the polar cap by interplanetary and atmospheric processes</t>
  </si>
  <si>
    <t>GEOMAGNETISM AND AERONOMY</t>
  </si>
  <si>
    <t>SOLAR-WIND; GEOMAGNETIC-PULSATIONS; PLANETARY-WAVES; HIGH-LATITUDES; POWER</t>
  </si>
  <si>
    <t>The variations in the daily average energy of geomagnetic pulsations and noise in the Pc3 (20-60 mHz) and Pc4 (10-19 mHz) frequency bands in the polar cap have been studied based on the data from P5 Antarctic station (corrected geomagnetic latitude -87 degrees) from November 1998 to November 1999. The daily average pulsation energy has been calculated using the method for detecting the wave packets, the spectral amplitude of which is higher than the threshold level, from the dynamic spectrum. A spectral analysis of the energy of pulsations and noise in the Pc3 and Pc4 bands, performed using the maximal entropy method, has revealed periodicities of 18 days in the local winter and 26, 13, and 7-9 days during the local summer. The simultaneous and coherent variations with periods of 26, 13, and 7-9 days in the solar wind velocity and IMF orientation indicate that the variations in the Pc3-4 wave energy in the polar cap at a sunlit ionosphere are mainly controlled by the parameters of the interplanetary medium. The variations in the Pc3-4 wave energy with a period of 18 days are observed only during the local winter and are supposedly related to the variations in the ionospheric conductivity modulated by planetary waves.</t>
  </si>
  <si>
    <t>[Chugunova, O. M.; Pilipenko, V. A.; Shalimov, S. L.] Russian Acad Sci, Inst Phys Earth, Moscow 123810, Russia; [Engebretson, M.] Augsburg Coll, Minneapolis, MN 55454 USA</t>
  </si>
  <si>
    <t>Russian Academy of Sciences; Schmidt Institute of Physics of the Earth of the Russian Academy of Sciences; Augsburg University</t>
  </si>
  <si>
    <t>Chugunova, OM (corresponding author), Russian Acad Sci, Inst Phys Earth, Bolshaya Gruzinskaya Ul 10, Moscow 123810, Russia.</t>
  </si>
  <si>
    <t>ch_olga@nln.ru</t>
  </si>
  <si>
    <t>MAIK NAUKA/INTERPERIODICA/SPRINGER</t>
  </si>
  <si>
    <t>233 SPRING ST, NEW YORK, NY 10013-1578 USA</t>
  </si>
  <si>
    <t>0016-7932</t>
  </si>
  <si>
    <t>1555-645X</t>
  </si>
  <si>
    <t>GEOMAGN AERONOMY+</t>
  </si>
  <si>
    <t>Geomagn. Aeron.</t>
  </si>
  <si>
    <t>10.1134/S0016793208030043</t>
  </si>
  <si>
    <t>313YQ</t>
  </si>
  <si>
    <t>WOS:000256776300004</t>
  </si>
  <si>
    <t>Parapar, J; Moreira, J</t>
  </si>
  <si>
    <t>Parapar, Julio; Moreira, Juan</t>
  </si>
  <si>
    <t>Redescription of Terebellides kerguelensis stat. nov (Polychaeta: Trichobranchidae) from Antarctic and subantarctic waters</t>
  </si>
  <si>
    <t>HELGOLAND MARINE RESEARCH</t>
  </si>
  <si>
    <t>Annelida; Terebellides stroemii kerguelensis; Bentart project; Antarctic peninsula; Kerguelen Island; Antarctica; new status</t>
  </si>
  <si>
    <t>SHELF SOUTH SHETLAND; SOFT BOTTOMS; ANNELIDA</t>
  </si>
  <si>
    <t>During the Spanish Antarctic expeditions Bentart 1994, 1995 and 2003, a number of trichobranchid (Annelida: Polychaeta) specimens were collected and identified initially as Terebellides stroemii kerguelensis McIntosh, 1885, the only known species of the genus widely recognised as valid in Antarctic waters. In the framework of a worldwide revision of the genus Terebellides, a reconsideration of the taxonomic status of this subspecies of the boreal Terebellides stroemii Sars, 1835 is done through the examination of the syntypes of T. s. kerguelensis compared with recent descriptions of the nominal species from Norwegian waters and material from Icelandic waters. Thus, T. s. kerguelensis is regarded as a valid species, T. kerguelensis stat. nov., and redescribed designating a lectotype and paralectotypes. The species is mainly characterised by the presence of an anterior branchial extension (fifth lobe), lateral lappets in five anterior thoracic chaetigers, segmental organs in chaetigers 1, 4 and 5, and first thoracic acicular neurochaetae sharply bent with pointed tips. The biological role of the segmental organs, the presence and disposition of cilia in branchial lamellae and the finding of new structures located in dorsal part of thoracic notopodia are discussed.</t>
  </si>
  <si>
    <t>[Parapar, Julio] Univ A Coruna, Dept Biol Anim Biol Vexetal &amp; Ecol, Fac Ciencias, La Coruna 15008, Spain; [Moreira, Juan] Univ Santiago de Compostela, Estac Biol Marina Grana, Ferrol 15590, Spain; [Moreira, Juan] Univ Santiago de Compostela, Dept Biol Anim, Santiago De Compostela 15782, Spain; [Moreira, Juan] Univ Santiago de Compostela, Inst Acuicultura, Santiago De Compostela 15782, Spain</t>
  </si>
  <si>
    <t>Universidade da Coruna; Universidade de Santiago de Compostela; Universidade de Santiago de Compostela; Universidade de Santiago de Compostela</t>
  </si>
  <si>
    <t>Parapar, J (corresponding author), Univ A Coruna, Dept Biol Anim Biol Vexetal &amp; Ecol, Fac Ciencias, Rua Alejandro Sota 1, La Coruna 15008, Spain.</t>
  </si>
  <si>
    <t>jparapar@udc.es</t>
  </si>
  <si>
    <t>Moreira, Juan/D-4462-2013; Parapar, Julio/J-4150-2014</t>
  </si>
  <si>
    <t>Moreira, Juan/0000-0002-1374-2033; Parapar, Julio/0000-0001-7585-6995</t>
  </si>
  <si>
    <t>SPRINGER HEIDELBERG</t>
  </si>
  <si>
    <t>HEIDELBERG</t>
  </si>
  <si>
    <t>TIERGARTENSTRASSE 17, D-69121 HEIDELBERG, GERMANY</t>
  </si>
  <si>
    <t>1438-387X</t>
  </si>
  <si>
    <t>1438-3888</t>
  </si>
  <si>
    <t>HELGOLAND MAR RES</t>
  </si>
  <si>
    <t>Helgoland Mar. Res.</t>
  </si>
  <si>
    <t>10.1007/s10152-007-0085-4</t>
  </si>
  <si>
    <t>Marine &amp; Freshwater Biology; Oceanography</t>
  </si>
  <si>
    <t>302ZP</t>
  </si>
  <si>
    <t>WOS:000256009100005</t>
  </si>
  <si>
    <t>Mölg, T; Cullen, NJ; Hardy, DR; Kaser, G; Klok, L</t>
  </si>
  <si>
    <t>Moelg, Thomas; Cullen, Nicolas J.; Hardy, Douglas R.; Kaser, G.; Klok, L.</t>
  </si>
  <si>
    <t>Mass balance of a slope glacier on Kilimanjaro and its sensitivity to climate</t>
  </si>
  <si>
    <t>INTERNATIONAL JOURNAL OF CLIMATOLOGY</t>
  </si>
  <si>
    <t>glaciers and climate; mass balance modelling; tropical glaciers</t>
  </si>
  <si>
    <t>SURFACE-ENERGY BALANCE; TROPICAL CORDILLERA BLANCA; ANTARCTIC SNOW; RADIATION GEOMETRY; MORTERATSCHGLETSCHER; TEMPERATURE; HEAT; BOLIVIA; RETREAT; IMPACT</t>
  </si>
  <si>
    <t>Meteorological and glaciological measurements obtained at 5873 m a.s.l. on Kersten Glacier, a slope glacier on the southern flanks of Kilimanjaro, are used to run a physically-based mass balance model for the period February 2005 to January 2006. This shows that net shortwave radiation is the most variable energy flux at the glacier-atmosphere interface, governed by surface albedo. The majority of the mass loss (similar to 65%) is due to sublimation (direct conversion of snow/ice to water vapour), with melting of secondary importance. Sensitivity experiments reveal that glacier mass balance is 2-4 times more sensitive to a 20% precipitation change than to a 1 degrees C air temperature change. These figures also hold when the model is run with input data representative of a longer term (1979-2004) mean period. Results suggest that a regional-scale moisture projection for the 21st century is crucial to a physically-based prediction of glacier retention on Africa's highest mountain. Copyright (C) 2007 Royal Meteorological Society.</t>
  </si>
  <si>
    <t>[Moelg, Thomas; Kaser, G.] Univ Innsbruck, Dept Earth &amp; Atmospher Sci, Trop Glaciol Grp, A-6020 Innsbruck, Austria; [Cullen, Nicolas J.] Univ Otago, Dept Geog, Dunedin 9054, New Zealand; [Hardy, Douglas R.] Univ Massachusetts, Dept Geosci, Climate Syst Res Ctr, Amherst, MA 01003 USA; [Klok, L.] Royal Dutch Meteorol Inst, NL-3730 AE De Bilt, Netherlands</t>
  </si>
  <si>
    <t>University of Innsbruck; University of Otago; University of Massachusetts System; University of Massachusetts Amherst; Royal Netherlands Meteorological Institute</t>
  </si>
  <si>
    <t>Mölg, T (corresponding author), Univ Innsbruck, Dept Earth &amp; Atmospher Sci, Trop Glaciol Grp, Innrain 52, A-6020 Innsbruck, Austria.</t>
  </si>
  <si>
    <t>thomas.moelg@uibk.ac.at</t>
  </si>
  <si>
    <t>Mölg, Thomas/I-8131-2013</t>
  </si>
  <si>
    <t>Cullen, Nicolas James/0000-0001-8877-1325; Kaser, Georg/0000-0001-5916-6206</t>
  </si>
  <si>
    <t>0899-8418</t>
  </si>
  <si>
    <t>1097-0088</t>
  </si>
  <si>
    <t>INT J CLIMATOL</t>
  </si>
  <si>
    <t>Int. J. Climatol.</t>
  </si>
  <si>
    <t>10.1002/joc.1589</t>
  </si>
  <si>
    <t>314OE</t>
  </si>
  <si>
    <t>WOS:000256817900003</t>
  </si>
  <si>
    <t>Wu, ZQ; Jiang, GL</t>
  </si>
  <si>
    <t>Wu, Zhiqiang; Jiang, Guoliang</t>
  </si>
  <si>
    <t>Purification and characterization of trypsin-like enzymes from Neomysis japonica using BApNA as substrate</t>
  </si>
  <si>
    <t>INTERNATIONAL JOURNAL OF PEPTIDE RESEARCH AND THERAPEUTICS</t>
  </si>
  <si>
    <t>BApNA; neomysis japonica; physiological efficiency; stability; trypsin-like enzyme</t>
  </si>
  <si>
    <t>SHRIMP PENAEUS-MONODON; ANTARCTIC KRILL; EUPHAUSIA-SUPERBA; CRUSTACEA; PROTEASES</t>
  </si>
  <si>
    <t>Using N-alpha-benzoyl-L-arginine p-nitroanilide (BApNA) as substrate, trypsin-like enzymes (TLEs) were purified from mysis (Neomysis japonica) following two chromatographic steps, Sephacryl S100 HR gel filtration and Benzamidine-Sepharose 4B affinity. They presented a high stability in the raw material, retaining over 45% of the initial activity after 30 days of storage at pH 8.0, 45 degrees C. The purified TLEs had relative molecular mass between 32 kDa and 33 kDa. With higher stability and greater activity, they had similar stability and activity profiles (pH 6.0-11.0, 15-65 degrees C) as bovine trypsin but had a different optimum temperature (35 degrees C for trypsin and 45 degrees C for TLEs). Similar to bovine trypsin, the purified TLEs could be activated by Ca2+ and Mg2+. And the purified TLEs also showed similar inhibitory profiles as bovine trypsin with the exception of chicken egg ovomucoid (CEOM), an effective inhibitor of bovine trypsin but less so for purified TLEs. Having TLEs with physiological efficiency 3.6 times that of bovine trypsin, the use of mysis as a source for commercial production of TLEs is discussed.</t>
  </si>
  <si>
    <t>[Wu, Zhiqiang; Jiang, Guoliang] Ocean Univ China, Coll Marine Life Sci, Marine Biol Mat Lab, Qingdao 260003, Shandong, Peoples R China</t>
  </si>
  <si>
    <t>Ocean University of China</t>
  </si>
  <si>
    <t>Jiang, GL (corresponding author), Ocean Univ China, Coll Marine Life Sci, Marine Biol Mat Lab, Qingdao 260003, Shandong, Peoples R China.</t>
  </si>
  <si>
    <t>gljiang@ouc.edu.cn</t>
  </si>
  <si>
    <t>wu, zhi/GXH-3041-2022; Jiang, Guo/ISR-9858-2023</t>
  </si>
  <si>
    <t>1573-3149</t>
  </si>
  <si>
    <t>1573-3904</t>
  </si>
  <si>
    <t>INT J PEPT RES THER</t>
  </si>
  <si>
    <t>Int. J. Pept. Res. Ther.</t>
  </si>
  <si>
    <t>10.1007/s10989-007-9102-3</t>
  </si>
  <si>
    <t>301EH</t>
  </si>
  <si>
    <t>WOS:000255878700001</t>
  </si>
  <si>
    <t>Wu, ZQ; Jiang, GL; Wang, N; Wang, J; Chen, S; Xu, ZN</t>
  </si>
  <si>
    <t>Wu, Zhiqiang; Jiang, Guoliang; Wang, Ning; Wang, Jun; Chen, Shuang; Xu, Zinan</t>
  </si>
  <si>
    <t>Relating trypsin enzymatic properties with amino acid composition</t>
  </si>
  <si>
    <t>amino acid composition; catalytic efficiency; crustacean; enzymatic property; trypsin</t>
  </si>
  <si>
    <t>ANTARCTIC KRILL; ATLANTIC COD; PYROCOCCUS-FURIOSUS; CRYSTAL-STRUCTURE; PYLORIC CECA; PURIFICATION; ENZYMES; SALMON; STABILITY; RESIDUES</t>
  </si>
  <si>
    <t>In this paper, the DNA fragment of trypsin genes from eight crustaceans were cloned and sequenced. The amino acid composition of the 24 deduced and 42 selected trypsin sequences were compared. Low arginine, methionine, and proline content and high aspartic acid, glutamic acid, and isoleucine content attributed to the distinct catalytic efficiency of crustacean trypsins.</t>
  </si>
  <si>
    <t>[Wu, Zhiqiang; Jiang, Guoliang; Wang, Ning; Wang, Jun; Chen, Shuang; Xu, Zinan] Ocean Univ China, Marine Biol Mat Lab, Coll Marine Life Sci, Qingdao 266003, Shandong, Peoples R China</t>
  </si>
  <si>
    <t>Jiang, GL (corresponding author), Ocean Univ China, Marine Biol Mat Lab, Coll Marine Life Sci, Qingdao 266003, Shandong, Peoples R China.</t>
  </si>
  <si>
    <t>10.1007/s10989-007-9108-x</t>
  </si>
  <si>
    <t>WOS:000255878700002</t>
  </si>
  <si>
    <t>Wu, ZQ; Jiang, GL; Xiang, P; Xu, HL</t>
  </si>
  <si>
    <t>Wu, Zhiqiang; Jiang, Guoliang; Xiang, Peng; Xu, Honglei</t>
  </si>
  <si>
    <t>Anionic trypsin from North Pacific krill (Euphausia pacifica):: Purification and characterization</t>
  </si>
  <si>
    <t>euphausia pacifica; inhibitor; physiological efficiency; stability; trypsin</t>
  </si>
  <si>
    <t>SHRIMP PENAEUS-MONODON; PYLORIC CECA; ANTARCTIC KRILL; ENZYMATIC CHARACTERISTICS; ENGRAULIS-JAPONICA; JAPANESE ANCHOVY; DIGESTIVE-TRACT; VISCERA; ENZYMES; SPLEEN</t>
  </si>
  <si>
    <t>An anionic trypsin (TRY-EP) was purified from North Pacific krill (Euphausia pacifica) by ammonium sulfate precipitation, ion-exchange and gel-filtration chromatography. The purified enzyme was identified as a trypsin by LC-ESI-MS/MS analysis. The relative molecular mass of TRY-EP was 33 kDa, with isoelectric point of 4.5. The histidine, tryptophan, arginine, lysine, aspartic acid and glutamic acid residues were functional groups to TRY-EP. TRY-EP was activated by Ca2+ and Mg2+ and inhibited by some heavy metal ions (Zn2+ Cu2+ Pb2+ and Hg2+) organic solvents (ethanol, glycerin, DMSO and acetone) and specific trypsin inhibitors (benzamidine, CEOM, SBTI and TLCK). TRY-EP was active over a wide pH (6.0-11.0) and temperature (10-70 degrees C) range, with optimum of pH 9.0 and 40-50 degrees C. TRY-EP was stable between pH 6.0 and 11.0 and below 30 degrees C. Compared with some trypsins from the Temperate and Tropical Zone organisms, TRY-EP and other trypsins from the Frigid Zone organisms have higher affinity to substrate and 2-42-fold physiological efficiency.</t>
  </si>
  <si>
    <t>[Wu, Zhiqiang; Jiang, Guoliang; Xu, Honglei] Ocean Univ China, Dept Marine Bioengn, Lab Zoobiol, Coll Marine Life Sci, Qingdao 266003, Shandong, Peoples R China; [Xiang, Peng] State Ocean Adm, Inst Oceanog 3, Xiamen 361005, Peoples R China</t>
  </si>
  <si>
    <t>Ocean University of China; Third Institute of Oceanography, Ministry of Natural Resources</t>
  </si>
  <si>
    <t>Jiang, GL (corresponding author), Ocean Univ China, Dept Marine Bioengn, Lab Zoobiol, Coll Marine Life Sci, Qingdao 266003, Shandong, Peoples R China.</t>
  </si>
  <si>
    <t>10.1007/s10989-007-9119-7</t>
  </si>
  <si>
    <t>WOS:000255878700006</t>
  </si>
  <si>
    <t>Montes, MJ; Bozal, N; Mercadé, E</t>
  </si>
  <si>
    <t>Montes, M. Jesus; Bozal, Nuria; Mercade, Elena</t>
  </si>
  <si>
    <t>Marinobacter guineae sp nov., a novel moderately halophilic bacterium from an Antarctic environment</t>
  </si>
  <si>
    <t>INTERNATIONAL JOURNAL OF SYSTEMATIC AND EVOLUTIONARY MICROBIOLOGY</t>
  </si>
  <si>
    <t>DEOXYRIBONUCLEIC-ACID; MARINE BACTERIUM; SEA-WATER; DNA; HYBRIDIZATION; KOREA</t>
  </si>
  <si>
    <t>Two Gram-negative, cold-adapted, moderately halophilic, aerobic bacteria, designated strains M3B(T) and M3T, were isolated from marine sediment collected from the South Shetland Islands, Antarctica. The organisms were rod-shaped, catalase- and oxidase-positive, and motile by means of polar flagella. These two psychrotolerant strains required Na(+) and grew at NaCl concentrations of 1-15% and temperatures between 4 and 42 degrees C. 16S rRNA gene sequence analysis placed strains M3B(T) and M3(T) within the genus Marinobacter. DNA-DNA hybridization experiments between the Antarctic isolate M3B(T) and type strains of phylogenetically related species, namely Marinobacter lipolyticus, Marinobacter flavimaris, Marinobacter sediminum, Marinobacter algicola, Marinobacter maritimus and Marinobacter koreensis, revealed levels of relatedness lower than 32%. Strain M3T showed 99% DNA relatedness to strain M3B(T), The DNA G + C contents of M3B(T) and M3T were 57.1 and 57.4 mol%, respectively, and their major isoprenoid quinone was ubiquinone-9. Several phenotypic characteristics, together with data on cellular fatty acid composition, served to differentiate strains M3B(T) and M3T from strains of related Marinobacter species. On the basis of the polyphasic taxonomic evidence presented in this study, it can be concluded that strains M3B(T) and M3T belong to the same genospecies and represent a novel species of the genus Marinobacter, for which the name Marinobacter guineae sp. nov. is proposed. The type strain is M3BT (=LMG 24048(T)=CECT 7243(T)).</t>
  </si>
  <si>
    <t>[Montes, M. Jesus; Bozal, Nuria; Mercade, Elena] Univ Barcelona, Fac Farm, Microbiol Lab, E-08028 Barcelona, Spain</t>
  </si>
  <si>
    <t>University of Barcelona</t>
  </si>
  <si>
    <t>Mercadé, E (corresponding author), Univ Barcelona, Fac Farm, Microbiol Lab, Av Juan 23 S-N, E-08028 Barcelona, Spain.</t>
  </si>
  <si>
    <t>mmercade@ub.edu</t>
  </si>
  <si>
    <t>Montes, Mª Jesús/L-6430-2014; DE FEBRER, NURIA N.B.F. BOZAL/L-7456-2014; Mercade, Elena/L-5218-2014</t>
  </si>
  <si>
    <t>Mercade, Elena/0000-0001-7828-2210</t>
  </si>
  <si>
    <t>SOC GENERAL MICROBIOLOGY</t>
  </si>
  <si>
    <t>READING</t>
  </si>
  <si>
    <t>MARLBOROUGH HOUSE, BASINGSTOKE RD, SPENCERS WOODS, READING RG7 1AG, BERKS, ENGLAND</t>
  </si>
  <si>
    <t>1466-5026</t>
  </si>
  <si>
    <t>INT J SYST EVOL MICR</t>
  </si>
  <si>
    <t>Int. J. Syst. Evol. Microbiol.</t>
  </si>
  <si>
    <t>10.1099/ijs.0.65298-0</t>
  </si>
  <si>
    <t>321AT</t>
  </si>
  <si>
    <t>WOS:000257277200013</t>
  </si>
  <si>
    <t>Blockeel, TL; Bednarek-Ochyra, H; Ochyra, R; Duckett, JG; Erzberger, P; Hedenäs, L; Hugonnot, V; Maier, E; Marková, I; Matcham, HW; Plásek, V; Pócs, T; Seppelt, RD; Szücs, P; Thouvenot, L; van Zanten, BO</t>
  </si>
  <si>
    <t>Blockeel, T. L.; Bednarek-Ochyra, H.; Ochyra, R.; Duckett, Jeffrey G.; Erzberger, P.; Hedenas, Lars; Hugonnot, V.; Maier, E.; Markova, I.; Matcham, Howard W.; Plasek, V.; Pocs, T.; Seppelt, R. D.; Szucs, P.; Thouvenot, Louis; van Zanten, B. O.</t>
  </si>
  <si>
    <t>New national and regional bryophyte records, 18</t>
  </si>
  <si>
    <t>JOURNAL OF BRYOLOGY</t>
  </si>
  <si>
    <t>BRYOPSIDA</t>
  </si>
  <si>
    <t>[Bednarek-Ochyra, H.; Ochyra, R.] Polish Acad Sci, Inst Bot, Lab Bryol, PL-31512 Krakow, Poland; [Duckett, Jeffrey G.] Univ London, Sch Biol Sci, London E1 4NS, England; [Hedenas, Lars] Swedish Museum Nat Hist, Dept Cryptogam Bot, SE-10405 Stockholm, Sweden; [Markova, I.] Bohemian Switzerland Natl Pk Adm, CZ-40746 Krasna Lipa, Czech Republic; [Plasek, V.] Univ Ostrava, Dept Biol &amp; Ecol, CZ-71000 Ostrava 10, Czech Republic; [Pocs, T.] Hungarian Acad Sci, Dept Bot, Eszterhazy Coll, Res Grp Bryol, H-3301 Eger, Hungary; [Seppelt, R. D.] Australian Antarctic Div, Kingston, Tas 7050, Australia; [van Zanten, B. O.] Univ Groningen, Ctr Biol, Dept Biol Plants, NL-9750 AA Haren, Netherlands</t>
  </si>
  <si>
    <t>Polish Academy of Sciences; University of London; Swedish Museum of Natural History; University of Ostrava; Hungarian Academy of Sciences; Australian Antarctic Division; University of Groningen</t>
  </si>
  <si>
    <t>Blockeel, TL (corresponding author), 9 Ashfurlong Close, Sheffield S17 3NN, S Yorkshire, England.</t>
  </si>
  <si>
    <t>Tblockeel@aol.com; Halina.Bednarek@ib-pan.krakow.pl; Ryszard.Ochyra@ib-pan.krakow.pl; j.g.duckett@qmu.ac.uk; erzberger@erzfisch.de; lars.hedenas@nrm.se; vincent.hugonnot@wanadoo.fr; i.markova@npcs.cz; hwlgmatch@yahoo.co.uk; vitezslav.plasek@osu.cz; colura@chello.hu; thouloup@club-internet.fr; bovzanten@home.nl</t>
  </si>
  <si>
    <t>Sim-Sim, Manuela/H-1666-2011; Bednarek-Ochyra, Halina/K-7507-2012; Plasek, Vitezslav/D-8242-2014</t>
  </si>
  <si>
    <t>Sim-Sim, Manuela/0000-0003-3467-6538; Plasek, Vitezslav/0000-0002-4664-2135; Ochyra, Ryszard/0000-0002-2541-0722; Bednarek-Ochyra, Halina/0000-0002-6994-8313</t>
  </si>
  <si>
    <t>0373-6687</t>
  </si>
  <si>
    <t>1743-2820</t>
  </si>
  <si>
    <t>J BRYOL</t>
  </si>
  <si>
    <t>J. Bryol.</t>
  </si>
  <si>
    <t>10.1179/174328208X282463</t>
  </si>
  <si>
    <t>337BS</t>
  </si>
  <si>
    <t>WOS:000258411100009</t>
  </si>
  <si>
    <t>Holland, PR; Jenkins, A; Holland, DM</t>
  </si>
  <si>
    <t>Holland, Paul R.; Jenkins, Adrian; Holland, David M.</t>
  </si>
  <si>
    <t>The response of ice shelf basal melting to variations in ocean temperature</t>
  </si>
  <si>
    <t>MASS-BALANCE; CIRCULATION BENEATH; WATER; ANTARCTICA; CLIMATE; SENSITIVITY; DYNAMICS; GLACIER; MODEL</t>
  </si>
  <si>
    <t>A three-dimensional ocean general circulation model is used to study the response of idealized ice shelves to a series of ocean-warming scenarios. The model predicts that the total ice shelf basal melt increases quadratically as the ocean offshore of the ice front warms. This occurs because the melt rate is proportional to the product of ocean flow speed and temperature in the mixed layer directly beneath the ice shelf, both of which are found to increase linearly with ocean warming. The behavior of this complex primitive equation model can be described surprisingly well with recourse to an idealized reduced system of equations, and it is shown that this system supports a melt rate response to warming that is generally quadratic in nature. This study confirms and unifies several previous examinations of the relation between melt rate and ocean temperature but disagrees with other results, particularly the claim that a single melt rate sensitivity to warming is universally valid. The hypothesized warming does not necessarily require a heat input to the ocean, as warmer waters (or larger volumes of warm water) may reach ice shelves purely through a shift in ocean circulation. Since ice shelves link the Antarctic Ice Sheet to the climate of the Southern Ocean, this finding of an above-linear rise in ice shelf mass loss as the ocean steadily warms is of significant importance to understanding ice sheet evolution and sea level rise.</t>
  </si>
  <si>
    <t>[Holland, Paul R.; Jenkins, Adrian] British Antarctic Survey, Cambridge CB3 0ET, England; [Holland, David M.] NYU, Courant Inst Math Sci, New York, NY USA</t>
  </si>
  <si>
    <t>UK Research &amp; Innovation (UKRI); Natural Environment Research Council (NERC); NERC British Antarctic Survey; New York University</t>
  </si>
  <si>
    <t>Holland, PR (corresponding author), British Antarctic Survey, High Cross,Madingley Rd, Cambridge CB3 0ET, England.</t>
  </si>
  <si>
    <t>p.holland@bas.ac.uk</t>
  </si>
  <si>
    <t>Holland, Paul R/G-2796-2012; Jenkins, Adrian/IUN-2406-2023</t>
  </si>
  <si>
    <t>Jenkins, Adrian/0000-0002-9117-0616</t>
  </si>
  <si>
    <t>Natural Environment Research Council [bas010014] Funding Source: researchfish; NERC [bas010014] Funding Source: UKRI</t>
  </si>
  <si>
    <t>10.1175/2007JCLI1909.1</t>
  </si>
  <si>
    <t>311TL</t>
  </si>
  <si>
    <t>Bronze, Green Accepted</t>
  </si>
  <si>
    <t>WOS:000256623200014</t>
  </si>
  <si>
    <t>Nevitt, GA</t>
  </si>
  <si>
    <t>Nevitt, Gabrielle A.</t>
  </si>
  <si>
    <t>Sensory ecology on the high seas: the odor world of the procellariiform seabirds</t>
  </si>
  <si>
    <t>JOURNAL OF EXPERIMENTAL BIOLOGY</t>
  </si>
  <si>
    <t>olfaction; Procellariiformes; seabirds; sub-Antarctic</t>
  </si>
  <si>
    <t>MAJOR HISTOCOMPATIBILITY COMPLEX; STORM-PETREL CHICKS; DIMETHYL SULFIDE; MATE CHOICE; WANDERING ALBATROSS; MATING PREFERENCES; SOUTH-GEORGIA; FORAGING STRATEGIES; HALOBAENA-CAERULEA; ANIMAL NAVIGATION</t>
  </si>
  <si>
    <t>Procellariiform seabirds wander the world's oceans aided by olfactory abilities rivaling those of any animal on earth. Over the past 15 years, I have been privileged to study the sensory ecology of procellariiforms, focusing on how olfaction contributes to behaviors, ranging from foraging and navigation to individual odor recognition, in a broader sensory context. We have developed a number of field techniques for measuring both olfactory- and visually based behaviors in chicks and adults of various species. Our choice of test odors has been informed by long-term dietary studies and geochemical data on the production and distribution of identifiable, scented compounds found in productive waters. This multidisciplinary approach has shown us that odors provide different information over the ocean depending on the spatial scale. At large spatial scales (thousands of square kilometers), an olfactory landscape superimposed upon the ocean surface reflects oceanographic or bathymetric features where phytoplankton accumulate and an area-restricted search for prey is likely to be successful. At small spatial scales (tens to hundreds of square kilometers), birds use odors and visual cues to pinpoint and capture prey directly. We have further identified species-specific, sensory-based foraging strategies, which we have begun to explore in evolutionary and developmental contexts. With respect to chemical communication among individuals, we have shown that some species can distinguish familiar individuals by scent cues alone. We are now set to explore the mechanistic basis for these discriminatory abilities in the context of kin recognition, and whether or not the major histocompatibility complex is involved.</t>
  </si>
  <si>
    <t>[Nevitt, Gabrielle A.] Univ Calif Davis, Coll Biol Sci, Sect Neurobiol Physiol &amp; Behav, Davis, CA 95616 USA; [Nevitt, Gabrielle A.] Univ Calif Bodega, Marine Lab, Bodega Bay, CA 94923 USA</t>
  </si>
  <si>
    <t>University of California System; University of California Davis</t>
  </si>
  <si>
    <t>Nevitt, GA (corresponding author), Univ Calif Davis, Coll Biol Sci, Sect Neurobiol Physiol &amp; Behav, 1 Shields Ave, Davis, CA 95616 USA.</t>
  </si>
  <si>
    <t>ganevitt@ucdavis.edu</t>
  </si>
  <si>
    <t>COMPANY OF BIOLOGISTS LTD</t>
  </si>
  <si>
    <t>BIDDER BUILDING CAMBRIDGE COMMERCIAL PARK COWLEY RD, CAMBRIDGE CB4 4DL, CAMBS, ENGLAND</t>
  </si>
  <si>
    <t>0022-0949</t>
  </si>
  <si>
    <t>1477-9145</t>
  </si>
  <si>
    <t>J EXP BIOL</t>
  </si>
  <si>
    <t>J. Exp. Biol.</t>
  </si>
  <si>
    <t>10.1242/jeb.015412</t>
  </si>
  <si>
    <t>Biology</t>
  </si>
  <si>
    <t>Life Sciences &amp; Biomedicine - Other Topics</t>
  </si>
  <si>
    <t>303VO</t>
  </si>
  <si>
    <t>WOS:000256069200009</t>
  </si>
  <si>
    <t>Pistorius, PA; Bester, MN; Hofmeyr, GJG; Kirkman, SP; Taylor, FE</t>
  </si>
  <si>
    <t>Pistorius, Pierre A.; Bester, Marthan N.; Hofmeyr, Greg J. G.; Kirkman, Stephen P.; Taylor, Frances E.</t>
  </si>
  <si>
    <t>Seasonal survival and the relative cost of first reproduction in adult female southern elephant seals</t>
  </si>
  <si>
    <t>JOURNAL OF MAMMALOGY</t>
  </si>
  <si>
    <t>environmental change; Marion Island; mark-recapture models; Mirounga leonina; population ecology; seasonal survival</t>
  </si>
  <si>
    <t>LIFE-HISTORY CONSEQUENCES; ANTARCTIC FUR SEALS; MIROUNGA-LEONINA; POPULATION-DYNAMICS; DECLINING POPULATION; TEMPORAL VARIATION; SEXUAL-MATURITY; AGE; MOVEMENTS; GROWTH</t>
  </si>
  <si>
    <t>The annual cycle of adult female southern elephant seals (Mirounga leonina) can be divided into 2 pelagic phases, separated by relatively short terrestrial phases: breeding and molting. We used resighting data collected from tagged female southern elephant seals at Marion Island during 1986-1999 to investigate seasonal survival during the 2 pelagic phases in relation to reproductive experience. Mean postbreeding (pelagic phase between breeding and molting, about 62 days) survival of primiparous females was 0.830 compared to 0.912 for more-experienced females. Postmolting (pelagic phase between molting and breeding, about 255 days) survival was 0.847 (0.960 when rescaled to 62 days for comparative purposes) and was not dependent on reproductive experience. Postbreeding survival of experienced females was higher than postmolting survival, but per unit time the opposite applied. A 2-stage survival model, in which survival was constrained to be constant before 1994 (when the population was declining) and from 1994 onward (during the stable phase), had overwhelming support from the data. Postbreeding survival of primiparous females increased from 0.799 before 1994 to 0.880 from 1994 onward. Postmolting survival of all females also increased from 0.817 to 0.872 over the same period. Postbreeding and postmolting mortality risk varied independently over time, demonstrating the importance of an intra-annual approach in population studies of southern elephant seals.</t>
  </si>
  <si>
    <t>[Pistorius, Pierre A.; Bester, Marthan N.; Hofmeyr, Greg J. G.; Kirkman, Stephen P.; Taylor, Frances E.] Univ Pretoria, Mammal Res Inst, Dept Zool &amp; Entomol, ZA-0002 Pretoria, South Africa</t>
  </si>
  <si>
    <t>University of Pretoria</t>
  </si>
  <si>
    <t>Pistorius, PA (corresponding author), Univ Pretoria, Mammal Res Inst, Dept Zool &amp; Entomol, ZA-0002 Pretoria, South Africa.</t>
  </si>
  <si>
    <t>ppistorius@zoology.up.ac.za</t>
  </si>
  <si>
    <t>Bester, Marthán N/E-5387-2010; Kirkman, Stephen/AAA-9139-2021; Hofmeyr, G. J. Greg/AAV-3286-2020</t>
  </si>
  <si>
    <t>Kirkman, Stephen/0000-0001-5428-7375; Hofmeyr, G. J. Greg/0000-0003-0283-6058; Pistorius, Pierre/0000-0001-6561-7069</t>
  </si>
  <si>
    <t>OXFORD UNIV PRESS INC</t>
  </si>
  <si>
    <t>CARY</t>
  </si>
  <si>
    <t>JOURNALS DEPT, 2001 EVANS RD, CARY, NC 27513 USA</t>
  </si>
  <si>
    <t>0022-2372</t>
  </si>
  <si>
    <t>1545-1542</t>
  </si>
  <si>
    <t>J MAMMAL</t>
  </si>
  <si>
    <t>J. Mammal.</t>
  </si>
  <si>
    <t>10.1644/07-MAMM-A-219R.1</t>
  </si>
  <si>
    <t>310TK</t>
  </si>
  <si>
    <t>WOS:000256553100006</t>
  </si>
  <si>
    <t>Lee, JS; Lee, HK; Hur, JS; Andreev, M; Hong, SG</t>
  </si>
  <si>
    <t>Lee, Jin Sung; Lee, Hong Kum; Hur, Jae-Seoun; Andreev, Mikhail; Hong, Soon Gyu</t>
  </si>
  <si>
    <t>Diversity of the lichenized fungi in King George Island, Antarctica, revealed by phylogenetic analysis of partial large subunit rDNA sequences</t>
  </si>
  <si>
    <t>JOURNAL OF MICROBIOLOGY AND BIOTECHNOLOGY</t>
  </si>
  <si>
    <t>Antarctica; diversity; King George Island; lichens; phylogeny</t>
  </si>
  <si>
    <t>RIBOSOMAL DNA; MOLECULAR PHYLOGENY; CLASSIFICATION; EVOLUTION; IDENTIFICATION; PEZIZOMYCOTINA; MITOCHONDRIAL; PARMELIACEAE; ASCOMYCOTA; NEUROPOGON</t>
  </si>
  <si>
    <t>Lichens are predominant and important components of flora in the terrestrial ecosystem of Antarctica. However, relatively few researches on the phylogenetic position of Antarctic lichen-forming fungi have been accomplished. In this study, partial sequences of nuclear large subunit rDNAs from 50 Antarctic specimens were obtained and the phylogeny was reconstructed. Antarctic lichen species were distributed in 4 orders, including the monophyletic order Agyrales, paraphyletic orders Pertusariales and Teloschistales, and polyphyletic order Lecanorales. Species diversity was highest in the order Lecanorales, followed by Teloschistales and Pertusariales. Based on the phylogeny and sequence similarity analyses, it is proposed that the taxonomy of Stereocaulon alpinum, Physcia caesia, Usnea aurandacoatra, and Cladonia species should be revised by careful examination of their phenotypic and molecular characteristics. Six species known to be endemic to Antarctica, Catillaria corymbosa, Himantormia lugubris, Leptogium puberulum, Petlusaria pertusa, Rhizoplaca aspidophora, and Umbilicaria antarctica, formed unique lineages, implying independent origins in the Antarctic area.</t>
  </si>
  <si>
    <t>[Lee, Jin Sung; Lee, Hong Kum; Hong, Soon Gyu] KORDI, Korea Polar Res Inst, Polar BioCtr, Inchon 406840, South Korea; [Hur, Jae-Seoun] Sunchon Natl Univ, Dept Environm Educ, Suchon 540742, South Korea; [Andreev, Mikhail] VL Komarov Bot Inst, St Petersburg 197376, Russia</t>
  </si>
  <si>
    <t>Korea Institute of Ocean Science &amp; Technology (KIOST); Korea Polar Research Institute (KOPRI); Sunchon National University; Russian Academy of Sciences; Komarov Botanical Institute, Russian Academy of Sciences</t>
  </si>
  <si>
    <t>Hong, SG (corresponding author), KORDI, Korea Polar Res Inst, Polar BioCtr, 7-50 Songdo Dong, Inchon 406840, South Korea.</t>
  </si>
  <si>
    <t>polypore@kopri.re.kr</t>
  </si>
  <si>
    <t>Andreev, Mikhail P./JAC-9420-2023; Andreev, Mikhail P./U-9847-2017; Lee, JIn/HTL-6278-2023</t>
  </si>
  <si>
    <t>Andreev, Mikhail/0000-0002-5688-0751</t>
  </si>
  <si>
    <t>KOREAN SOC MICROBIOLOGY &amp; BIOTECHNOLOGY</t>
  </si>
  <si>
    <t>KOREA SCI TECHNOL CENTER #507, 635-4 YEOGSAM-DONG, KANGNAM-GU, SEOUL 135-703, SOUTH KOREA</t>
  </si>
  <si>
    <t>1017-7825</t>
  </si>
  <si>
    <t>1738-8872</t>
  </si>
  <si>
    <t>J MICROBIOL BIOTECHN</t>
  </si>
  <si>
    <t>J. Microbiol. Biotechnol.</t>
  </si>
  <si>
    <t>Biotechnology &amp; Applied Microbiology; Microbiology</t>
  </si>
  <si>
    <t>320CT</t>
  </si>
  <si>
    <t>WOS:000257212000003</t>
  </si>
  <si>
    <t>Aoki, T; Akai, J</t>
  </si>
  <si>
    <t>Aoki, Takayuki; Akai, Junji</t>
  </si>
  <si>
    <t>Carbon materials in Antarctic and nonAntarctic carbonaceous chondrites: high-resolution transmission electron microscopy</t>
  </si>
  <si>
    <t>JOURNAL OF MINERALOGICAL AND PETROLOGICAL SCIENCES</t>
  </si>
  <si>
    <t>TEM; carbonaceous chondrite; Antarctic meteorite; carbon material; diamond; graphite; carbonaceous globules</t>
  </si>
  <si>
    <t>METEORITIC NANODIAMONDS; INTERSTELLAR DIAMONDS; PARENT BODIES; GRAPHITE; GRAINS; ABUNDANCES</t>
  </si>
  <si>
    <t>Carbon materials from eight Antarctic carbonaceous chondrites (CM2, CO3, and CV3 types) and two nonAntarctic carbonaccous chondrites (CM2 and CV3 types) were studied using a high-resolution transmission electron microscope (HRTEM). Nanodiamonds and carbonaceous globules were found in seven of the Antarctic chondrites and one nonAntarctic CM2 chondrite. These results suggest that nanodiamonds and carbonaceous globules are common in carbonaceOLIS chondrites. The finding of carbonaceous globules in the meteorites that experienced post-hydration high-temperature thermal metamorphism suggests that they are resistant to thermal metamorphism. Well-crystallized graphite was mainly found in the CV3- and CO3-type chondrites, whereas poorly crystallized graphite was mainly found in the CM2-type chondrites. The CM2-type chondrites also contain characteristic carbon structures that are similar to tetrahedral carbon onions and multilayered fullerene. In this study, we discuss the origin of these types of carbon material.</t>
  </si>
  <si>
    <t>[Aoki, Takayuki] Niigata Univ, Grad Sch Sci &amp; Technol, Nishi Ku, Niigata 9502181, Japan; [Akai, Junji] Niigata Univ, Dept Geol, Fac Sci, Nishi Ku, Niigata 9502181, Japan</t>
  </si>
  <si>
    <t>Niigata University; Niigata University</t>
  </si>
  <si>
    <t>Aoki, T (corresponding author), Asahi Carbon Co Ltd, Higashi Ku, 2 Kamomejima Machi, Niigata 9500883, Japan.</t>
  </si>
  <si>
    <t>aokit@beige.plala.or.jp; akai@sc.niigata-u.ac.jp</t>
  </si>
  <si>
    <t>JAPAN ASSOC MINERALOGICAL SCIENCES</t>
  </si>
  <si>
    <t>SENDAI</t>
  </si>
  <si>
    <t>C/O GRAD SCH SCIENCES, TOHOKU UNIV, AOBA, SENDAI, 980-8578, JAPAN</t>
  </si>
  <si>
    <t>1345-6296</t>
  </si>
  <si>
    <t>1349-3825</t>
  </si>
  <si>
    <t>J MINER PETROL SCI</t>
  </si>
  <si>
    <t>J. Mineral. Petrol. Sci.</t>
  </si>
  <si>
    <t>10.2465/jmps.070301</t>
  </si>
  <si>
    <t>Mineralogy</t>
  </si>
  <si>
    <t>321NC</t>
  </si>
  <si>
    <t>WOS:000257311300001</t>
  </si>
  <si>
    <t>Rengefors, K; Laybourn-Parry, J; Logares, R; Marshall, WA; Hansen, G</t>
  </si>
  <si>
    <t>Rengefors, Karin; Laybourn-Parry, Johanna; Logares, Ramiro; Marshall, William A.; Hansen, Gert</t>
  </si>
  <si>
    <t>Marine-derived dinoflagellates in Antarctic saline lakes: Community composition and annual dynamics</t>
  </si>
  <si>
    <t>JOURNAL OF PHYCOLOGY</t>
  </si>
  <si>
    <t>Antarctica; cold-water dinoflagellates; dinoflagellate dynamics; polar; Polarella glacialis; saline lakes; Scrippsiella hangoei</t>
  </si>
  <si>
    <t>VESTFOLD-HILLS; SPECIES RICHNESS; RIBOSOMAL DNA; SEA; DINOPHYCEAE; DIVERSITY; ABUNDANCE; INDICATE; SURVIVAL; HISTORY</t>
  </si>
  <si>
    <t>The saline lakes of the Vestfold Hills in Antarctica offer a remarkable natural laboratory where the adaptation of planktonic protists to a range of evolving physiochemical conditions can be investigated. This study illustrates how an ancestral marine community has undergone radical simplification leaving a small number of well-adapted species. Our objective was to investigate the species composition and annual dynamics of dinoflagellate communities in three saline Antarctic lakes. We observed that dinoflagellates occur year-round despite extremely low PAR during the southern winter, which suggests significant mixotrophic or heterotrophic activity. Only a small number of dominant dinoflagellate species were found in each lake, in contrast to the species-rich Southern Ocean from which the lake communities are believed to be derived. We verified that the lake species were representatives of the marine polar dinoflagellate community, and not freshwater species. Polarella glacialis Montresor, Procaccini et Stoecker, a bipolar marine species, was for the first time described in a lake habitat and was an important phototrophic component in the higher salinity lakes. In the brackish lakes, we found a new sibling species to the brackish-water species Scrippsiella hangoei (J. Schiller) J. Larsen, previously observed only in the Baltic Sea.</t>
  </si>
  <si>
    <t>[Rengefors, Karin; Logares, Ramiro] Lund Univ, Dept Ecol, S-22362 Lund, Sweden; [Laybourn-Parry, Johanna] Univ Keele, Inst Environm Phys Sci &amp; Appl Math, Keele ST5 5BG, Staffs, England; [Marshall, William A.] Westlakes Sci Consulting, Dept Environm Sci, Cumbria CA24 3LN, England; [Hansen, Gert] Univ Copenhagen, Dept Biol, DK-1353 Copenhagen, Denmark</t>
  </si>
  <si>
    <t>Lund University; Keele University; University of Central Lancashire; University of Copenhagen</t>
  </si>
  <si>
    <t>Rengefors, K (corresponding author), Lund Univ, Dept Ecol, Ecol Bldg, S-22362 Lund, Sweden.</t>
  </si>
  <si>
    <t>Karin.Rengefors@limnol.lu.se</t>
  </si>
  <si>
    <t>Logares, Ramiro/D-5920-2011; Rengefors, Karin/K-5873-2019; Logares, Ramiro/AAI-2306-2019; Hansen, Gert/P-3328-2014</t>
  </si>
  <si>
    <t>Logares, Ramiro/0000-0002-8213-0604; Rengefors, Karin/0000-0001-6297-9734; Hansen, Gert/0000-0002-5751-8316</t>
  </si>
  <si>
    <t>0022-3646</t>
  </si>
  <si>
    <t>1529-8817</t>
  </si>
  <si>
    <t>J PHYCOL</t>
  </si>
  <si>
    <t>J. Phycol.</t>
  </si>
  <si>
    <t>10.1111/j.1529-8817.2008.00517.x</t>
  </si>
  <si>
    <t>304QJ</t>
  </si>
  <si>
    <t>WOS:000256123700006</t>
  </si>
  <si>
    <t>Herbei, R; McKeague, IW; Speer, KG</t>
  </si>
  <si>
    <t>Herbei, Radu; McKeague, Ian W.; Speer, Kevin G.</t>
  </si>
  <si>
    <t>Gyres and jets: Inversion of tracer data for ocean circulation structure</t>
  </si>
  <si>
    <t>JOURNAL OF PHYSICAL OCEANOGRAPHY</t>
  </si>
  <si>
    <t>SOUTH-ATLANTIC; DEEP CIRCULATION; ABYSSAL OCEAN; BRAZIL BASIN; ZONAL FLOWS; WATER; MODEL</t>
  </si>
  <si>
    <t>This paper describes a quasi-3D Bayesian inversion of oceanographic tracer data from the South Atlantic Ocean. Initially, one active neutral-density layer is considered with an upper and lower boundary. The available hydrographic data are linked to model parameters ( water velocities, diffusion coefficients) via a 3D advection-diffusion equation. A robust solution to the inverse problem can be obtained by introducing prior information about parameters and modeling the observation error. This approach estimates both horizontal and vertical flow as well as diffusion coefficients. A system of alternating zonal jets is found at the depths of the North Atlantic Deep Water, consistent with direct measurements of flow and concentration maps. A uniqueness analysis of the model is performed in terms of the oxygen consumption rate. The vertical mixing coefficient bears some relation to the bottom topography even though the authors do not incorporate topography into their model. The method is extended to a multilayer model, using thermal wind relations weakly in a local fashion ( as opposed to integrating the entire water column) to connect layers vertically. Results suggest that the estimated deep zonal jets extend vertically, with a clear depth-dependent structure. The vertical structure of the flow field is modified by the tracer fields relative to the a priori flow field defined by thermal wind. The velocity estimates are consistent with independent observed flow at the depths of the Antarctic Intermediate Water; at still shallower depths, above the layers considered here, the subtropical gyre is a significant feature of the horizontal flow.</t>
  </si>
  <si>
    <t>[Herbei, Radu] Ohio State Univ, Dept Stat, Columbus, OH 43210 USA; [McKeague, Ian W.] Columbia Univ, New York, NY USA; [Speer, Kevin G.] Florida State Univ, Tallahassee, FL 32306 USA</t>
  </si>
  <si>
    <t>University System of Ohio; Ohio State University; Columbia University; State University System of Florida; Florida State University</t>
  </si>
  <si>
    <t>Herbei, R (corresponding author), Ohio State Univ, Dept Stat, 1958 Neil Ave, Columbus, OH 43210 USA.</t>
  </si>
  <si>
    <t>herbei@stat.osu.edu</t>
  </si>
  <si>
    <t>0022-3670</t>
  </si>
  <si>
    <t>1520-0485</t>
  </si>
  <si>
    <t>J PHYS OCEANOGR</t>
  </si>
  <si>
    <t>J. Phys. Oceanogr.</t>
  </si>
  <si>
    <t>10.1175/2007JPO3835.1</t>
  </si>
  <si>
    <t>317NM</t>
  </si>
  <si>
    <t>WOS:000257026900003</t>
  </si>
  <si>
    <t>MacCracken, MC</t>
  </si>
  <si>
    <t>MacCracken, Michael C.</t>
  </si>
  <si>
    <t>Prospects for future climate change and the reasons for early action</t>
  </si>
  <si>
    <t>JOURNAL OF THE AIR &amp; WASTE MANAGEMENT ASSOCIATION</t>
  </si>
  <si>
    <t>SEA-LEVEL RISE; ANTARCTIC CLIMATE; CO2; CARBON; SENSITIVITY; INTENSITY; VARIABILITY; IMPACT; MODEL</t>
  </si>
  <si>
    <t>Combustion of coal, oil, and natural gas, and to a lesser extent deforestation, land-cover change, and emissions of halocarbons and other greenhouse gases, are rapidly increasing the atmospheric concentrations of climate-warming gases. The warming of approximately 0.1-0.2 degrees C per decade that has resulted is very likely the primary cause of the increasing loss of snow cover and Arctic sea ice, of more frequent occurrence of very heavy precipitation, of rising sea level, and of shifts in the natural ranges of plants and animals. The global average temperature is already approximately 0.8 degrees C above its preindustrial level, and present atmospheric levels of greenhouse gases will contribute to further warming of 0.5-1 degrees C as equilibrium is re-established. Warming has been and will be greater in mid and high latitudes compared with low latitudes, over land compared with oceans, and at night compared with day. As emissions continue to increase, both warming and the commitment to future warming are presently increasing at a rate of approximately 0.2 degrees C per decade, with projections that the rate of warming will further increase if emission controls are not put in place. Such warming and the associated changes are likely to result in severe impacts on key societal and environmental support systems. Present estimates are that limiting the increase in global average surface temperature to no more than 2-2.5 degrees C above its 1750 value of approximately 15 degrees C will be required to avoid the most catastrophic, but certainly not all, consequences of climate change. Accomplishing this will require reducing emissions sharply by 2050 and to near zero by 2100. This can only be achieved if: (1) developed nations move rapidly to demonstrate that a modern society can function without reliance on technologies that release carbon dioxide (CO2) and other non-CO2 greenhouse gases to the atmosphere; and (2) if developing nations act in the near-term to sharply limit their non-CO2 emissions while minimizing growth in CO2 emissions, and then in the long-term join with the developed nations to reduce all emissions as cost-effective technologies are developed.</t>
  </si>
  <si>
    <t>[MacCracken, Michael C.] Climate Inst, Climate Change Programs, Washington, DC 20036 USA</t>
  </si>
  <si>
    <t>MacCracken, MC (corresponding author), Climate Inst, Climate Change Programs, 1785 Massachusetts Ave NW, Washington, DC 20036 USA.</t>
  </si>
  <si>
    <t>mmaccrac@comcast.net</t>
  </si>
  <si>
    <t>MacCracken, Michael/AAB-9131-2020</t>
  </si>
  <si>
    <t>MacCracken, Michael/0000-0003-4404-9028</t>
  </si>
  <si>
    <t>TAYLOR &amp; FRANCIS INC</t>
  </si>
  <si>
    <t>PHILADELPHIA</t>
  </si>
  <si>
    <t>530 WALNUT STREET, STE 850, PHILADELPHIA, PA 19106 USA</t>
  </si>
  <si>
    <t>1096-2247</t>
  </si>
  <si>
    <t>2162-2906</t>
  </si>
  <si>
    <t>J AIR WASTE MANAGE</t>
  </si>
  <si>
    <t>J. Air Waste Manage. Assoc.</t>
  </si>
  <si>
    <t>10.3155/1047-3289.58.6.735</t>
  </si>
  <si>
    <t>Engineering, Environmental; Environmental Sciences; Meteorology &amp; Atmospheric Sciences</t>
  </si>
  <si>
    <t>Engineering; Environmental Sciences &amp; Ecology; Meteorology &amp; Atmospheric Sciences</t>
  </si>
  <si>
    <t>310TY</t>
  </si>
  <si>
    <t>WOS:000256554500003</t>
  </si>
  <si>
    <t>Cherel, Y</t>
  </si>
  <si>
    <t>Cherel, Yves</t>
  </si>
  <si>
    <t>Isotopic niches of emperor and Adelie penguins in Adelie Land, Antarctica</t>
  </si>
  <si>
    <t>MARINE BIOLOGY</t>
  </si>
  <si>
    <t>STABLE-ISOTOPES; APTENODYTES-FORSTERI; POINTE-GEOLOGIE; SOUTHERN-OCEAN; WEDDELL SEALS; ROSS SEA; EUPHAUSIA-CRYSTALLOROPHIAS; TROPHIC INTERACTIONS; PYGOSCELIS-ADELIAE; TEMPORAL VARIATION</t>
  </si>
  <si>
    <t>The emperor and Adelie penguins are the only two species of penguins that co-occur at high-Antarctic latitudes. We first measured and compared their isotopic niches on the same year in Adelie Land in spring, when the two species co-exist. Emperor and Adelie penguins segregated by their blood isotopic signatures, with adult delta(13)C values (-24.5 +/- 0.2 and -25.4 +/- 0.2 parts per thousand, respectively) suggesting that emperor penguins foraged in more neritic waters than Adelie penguins in spring. At that time, difference in their delta(15)N values (4.1 parts per thousand, 12.0 +/- 0.4 vs. 7.9 +/- 0.1 parts per thousand) encompassed more than one trophic level, indicating that emperor penguins preyed mainly upon fish (and squids), while Adelie penguins fed exclusively on euphausiids. Second, we compared the food of breeding adults and chicks. The isotopic signatures of adults and chicks of emperor penguins were not statistically different, but delta(15)N value of Adelie penguin chicks was higher than that of adults (10.2 +/- 0.8 vs. 9.0 +/- 0.2 parts per thousand). The difference showed that adult Adelie penguins captured higher trophic level prey, i.e. higher-quality food, for their chicks. Third, the isotopic signatures of Adelie penguins breeding in Adelie Land showed that adults fed on Antarctic krill in oceanic waters in spring and shifted to neritic waters in summer where they preyed upon ice krill for themselves and upon fish and euphausiids for their chicks. A comparison of isotopic niches revealed large overlaps in both blood delta(13)C and delta(15)N values within the community of Antarctic seabirds and pinnipeds. The continuum in delta(15)N values nevertheless encompassed more than one trophic level (5.2 parts per thousand) from Adelie penguin and crabeater seal to the Weddell seal. Such a broad continuum emphasizes the fact that all Antarctic seabirds and marine mammals feed on varying proportions of a few crustacean (euphausiids) and fish (Antarctic silverfish) species that dominate the intermediate trophic levels of the pelagic neritic and oceanic ecosystems.</t>
  </si>
  <si>
    <t>Ctr Etudes Biol Chize, CNRS, UPR 1934, F-79360 Villiers En Bios, France</t>
  </si>
  <si>
    <t>Centre National de la Recherche Scientifique (CNRS)</t>
  </si>
  <si>
    <t>Cherel, Y (corresponding author), Ctr Etudes Biol Chize, CNRS, UPR 1934, BP 14, F-79360 Villiers En Bios, France.</t>
  </si>
  <si>
    <t>cherel@cebc.cnrs.fr</t>
  </si>
  <si>
    <t>0025-3162</t>
  </si>
  <si>
    <t>MAR BIOL</t>
  </si>
  <si>
    <t>Mar. Biol.</t>
  </si>
  <si>
    <t>10.1007/s00227-008-0974-3</t>
  </si>
  <si>
    <t>Marine &amp; Freshwater Biology</t>
  </si>
  <si>
    <t>307TC</t>
  </si>
  <si>
    <t>WOS:000256340200006</t>
  </si>
  <si>
    <t>de Aranzamendi, MC; Sahade, R; Tatián, M; Chiappero, MB</t>
  </si>
  <si>
    <t>de Aranzamendi, M. Carla; Sahade, Ricardo; Tatian, Marcos; Chiappero, Marina B.</t>
  </si>
  <si>
    <t>Genetic differentiation between morphotypes in the Antarctic limpet Nacella concinna as revealed by inter-simple sequence repeat markers</t>
  </si>
  <si>
    <t>STREBEL; POPULATION; GROWTH; EVOLUTION; DNA; HERITABILITY; REPRODUCTION; METABOLISM; GASTROPODA; LITTORINA</t>
  </si>
  <si>
    <t>The limpet Nacella concinna (Strebel 1908) was the focus of numerous studies dealing with Antarctic benthos. One of the main characteristics of the species is the presence of two distinguishable morphotypes, one inhabiting the intertidal (during summer) and the other inhabiting the subtidal. For a long time these forms were considered as an expression of phenotypic plasticity, since previous studies did not found genetic differences between them. In the present work, we performed both a morphometric and a genetic differentiation analysis (using ISSR-PCR markers) of these two forms in three stations sampled at Potter Cove, South Shetland Islands. The results confirmed the morphological differences between intertidal and subtidal forms reported in other Antarctic localities. The genetic differences detected indicate that the two forms can be considered as genetically distinct populations maintaining low levels of gene flow. The degree of reproductive isolation of the ecotypes is discussed, as well as the possible origin of the divergence. The genetic differentiation observed can also have behavioral and physiological correlates, pointing out the importance of taking into account the potential differences in the response of both populations to different conditions in future studies in this species.</t>
  </si>
  <si>
    <t>[de Aranzamendi, M. Carla; Sahade, Ricardo; Tatian, Marcos] Univ Nacl Cordoba, Fac Ciencias Exactas Fis &amp; Nat, RA-5000 Cordoba, Argentina; [de Aranzamendi, M. Carla; Chiappero, Marina B.] Univ Nacl Cordoba, Fac Ciencias Exactas Fis &amp; Nat, Catedra Genet Poblac &amp; Evoluc, RA-5000 Cordoba, Argentina</t>
  </si>
  <si>
    <t>National University of Cordoba; National University of Cordoba</t>
  </si>
  <si>
    <t>Sahade, R (corresponding author), Univ Nacl Cordoba, Fac Ciencias Exactas Fis &amp; Nat, Ave Velez Sarsfield 299, RA-5000 Cordoba, Argentina.</t>
  </si>
  <si>
    <t>rsahade@efn.unc.edu</t>
  </si>
  <si>
    <t>Chiappero, Marina Beatriz/0000-0003-3009-8646; Tatian, Marcos/0000-0002-9092-9184; de Aranzamendi, Maria Carla/0000-0003-4442-0384; Sahade, Ricardo/0000-0001-5650-8135</t>
  </si>
  <si>
    <t>1432-1793</t>
  </si>
  <si>
    <t>10.1007/s00227-008-0980-5</t>
  </si>
  <si>
    <t>WOS:000256340200012</t>
  </si>
  <si>
    <t>Hooker, SK; Heaslip, SG; Matthiopoulos, J; Cox, O; Boyd, IL</t>
  </si>
  <si>
    <t>Hooker, Sascha K.; Heaslip, Susan G.; Matthiopoulos, Jason; Cox, Oliver; Boyd, Ian L.</t>
  </si>
  <si>
    <t>Data sampling options for animal-borne video cameras: Considerations based on deployments with Antarctic fur seals</t>
  </si>
  <si>
    <t>MARINE TECHNOLOGY SOCIETY JOURNAL</t>
  </si>
  <si>
    <t>BEHAVIOR; CRITTERCAM; HABITAT</t>
  </si>
  <si>
    <t>Although the use of animal-borne video cameras has brought great insight into the lives of animals, there are still several limitations in using them to record observational data. The ethical demand for reduced camera size limits battery capacity, which thus restricts recording duration. In addition to design considerations, there are several sampling options available for extending sampling duration following tag deployment. These options include the use of duty cycling (for sampling at preset times), a depth trigger and varying the sampling interval between images. We investigate the consequences of these options based on foraging data collected from Antarctic fur seals using the Venus camera system (Wild Insight Ltd). We show the effect of differing sampling protocols on the resulting data. By sub-sampling our dataset, we show how changes in sampling protocol affect the number of prey images collected and the measurement of simple foraging variables such as the time spent feeding. In addition, we ran simulations based on altering the foraging parameters: prey-encounter rate (waiting time) and handling time (feeding event duration), to more broadly investigate how changes in sampling frequency would impact data collection for species with varying foraging characteristics. We show that, irrespective of sampling frequency, the proportion of prey images recorded remains constant, suggesting that coverage of a foraging trip could be extended for investigation of time-invariant processes by using an increased sampling interval. Measurement of rates or durations of behavioral events (such as prey-encounter rate or handling time), however, requires higher sampling rates to increase the precision of parameter values.</t>
  </si>
  <si>
    <t>[Hooker, Sascha K.; Heaslip, Susan G.; Matthiopoulos, Jason; Boyd, Ian L.] Univ St Andrews, Gatty Marine Lab, Sea Mammal Res Unit, St Andrews KY16 9AJ, Fife, Scotland</t>
  </si>
  <si>
    <t>University of St Andrews</t>
  </si>
  <si>
    <t>Hooker, SK (corresponding author), Univ St Andrews, Gatty Marine Lab, Sea Mammal Res Unit, St Andrews KY16 9AJ, Fife, Scotland.</t>
  </si>
  <si>
    <t>Heaslip, Susan G/I-9137-2012; Hooker, Sascha K/J-3267-2013; Matthiopoulos, Jason/N-9808-2013</t>
  </si>
  <si>
    <t>Matthiopoulos, Jason/0000-0003-3639-8172; Hooker, Sascha/0000-0002-7518-3548</t>
  </si>
  <si>
    <t>MARINE TECHNOLOGY SOC INC</t>
  </si>
  <si>
    <t>COLUMBIA</t>
  </si>
  <si>
    <t>5565 STERRETT PLACE, STE 108, COLUMBIA, MD 21044 USA</t>
  </si>
  <si>
    <t>0025-3324</t>
  </si>
  <si>
    <t>1948-1209</t>
  </si>
  <si>
    <t>MAR TECHNOL SOC J</t>
  </si>
  <si>
    <t>Mar. Technol. Soc. J.</t>
  </si>
  <si>
    <t>SUM</t>
  </si>
  <si>
    <t>10.4031/002533208786829179</t>
  </si>
  <si>
    <t>Engineering, Ocean; Oceanography</t>
  </si>
  <si>
    <t>Engineering; Oceanography</t>
  </si>
  <si>
    <t>342SB</t>
  </si>
  <si>
    <t>WOS:000258802700011</t>
  </si>
  <si>
    <t>Xu, QH; Cheng, CHC; Hu, P; Ye, H; Chen, ZZ; Cao, LX; Chen, L; Shen, Y; Chen, LB</t>
  </si>
  <si>
    <t>Xu, Qianghua; Cheng, Chi-Hing Christina; Hu, Peng; Ye, Hua; Chen, Zuozhou; Cao, Lixue; Chen, Lei; Shen, Yu; Chen, Liangbiao</t>
  </si>
  <si>
    <t>Adaptive evolution of hepcidin genes in antarctic notothenioid fishes</t>
  </si>
  <si>
    <t>MOLECULAR BIOLOGY AND EVOLUTION</t>
  </si>
  <si>
    <t>hepcidin; iron regulation; cold adaptation; positive selection; gene duplication</t>
  </si>
  <si>
    <t>MULTIPLE SEQUENCE ALIGNMENT; EXPRESSION ANALYSIS; ANTIMICROBIAL PEPTIDES; COLD ADAPTATION; IRON UPTAKE; ORGANIZATION; SELECTION; HORMONE; CLONING; ANEMIA</t>
  </si>
  <si>
    <t>Hepcidin is a small bioactive peptide with dual roles as an antimicrobial peptide and as the principal hormonal regulator of iron homeostasis in human and mouse. Hepcidin homologs of very similar structures are found in lower vertebrates, all comprise similar to 20-25 amino acids with 8 highly conserved cysteines forming 4 intramolecular disulfide bonds, giving hepcidin a hairpin structure. Hepcidins are particularly diverse in teleost fishes, which may be related to the diversity of aquatic environments with varying degree of pathogen challenge, oxygenation, and iron concentration, factors known to alter hepcidin expression in mammals. We characterized the diversity of hepcidin genes of the Antarctic notothenioid fishes that are endemic to the world's coldest and most oxygen-rich marine water. Notothenioid fishes have at least 4 hepcidin variants, in 2 distinctive structural types. Type I hepcidins comprise 3 distinct variants that are homologs of the widespread 8-cysteine hepcidins. Type II is a novel 4-cysteine variant and therefore only 2 possible disulfide bonds, highly expressed in hematopoietic tissues. Analyses of d(N)/d(S) substitution rate ratios and likelihood ratio test under site-specific models detected significant signal of positive Darwinian selection on the mature hepcidin-coding sequence, suggesting adaptive evolution of notothenioid hepcidins. Genomic polymerase chain reaction and Southern hybridization showed that the novel type II hepcidin occurs exclusively in lineages of the Antarctic notothenioid radiation but not in the basal non-Antarctic taxa, and lineage-specific positive selection was detected on the branch leading to the type II hepcidin clade under branch-site models, suggesting adaptive evolution of the reduced cysteine variant in response to the polar environment. We also isolated a structurally distinct 4-cysteine (4cys) hepcidin from an Antarctic eelpout that is unrelated to the notothenioids but inhabits the same freezing water. Neighbor-Joining (NJ) analyses of teleost hepcidins showed that the eelpout 4cys variant arose independently from the notothenioid version, which lends support to adaptive evolution of reduced cysteine hepcidin variants on cold selection. The NJ tree also showed taxonomic-specific expansions of hepcidin variants, indicating that duplication and diversification of hepcidin genes play important roles in evolutionary response to diverse ecological conditions.</t>
  </si>
  <si>
    <t>[Xu, Qianghua; Hu, Peng; Ye, Hua; Chen, Zuozhou; Cao, Lixue; Chen, Lei; Shen, Yu; Chen, Liangbiao] Chinese Acad Sci, Inst Genet &amp; Dev Biol, Key Lab Mol &amp; Dev Biol, Beijing, Peoples R China; [Cheng, Chi-Hing Christina] Univ Illinois, Dept Anim Biol, Urbana, IL 61801 USA; [Xu, Qianghua] Shanghai Fisheries Univ, Coll Marine Sci, Shanghai, Peoples R China; [Xu, Qianghua] Shanghai Fisheries Univ, Shanghai Int Marine Bioresources Res Ctr, Shanghai, Peoples R China</t>
  </si>
  <si>
    <t>Chinese Academy of Sciences; Institute of Genetics &amp; Developmental Biology, CAS; University of Illinois System; University of Illinois Urbana-Champaign; Shanghai Ocean University; Shanghai Ocean University</t>
  </si>
  <si>
    <t>Xu, QH (corresponding author), Chinese Acad Sci, Inst Genet &amp; Dev Biol, Key Lab Mol &amp; Dev Biol, Beijing, Peoples R China.</t>
  </si>
  <si>
    <t>lbchen@genetics.ac.cn</t>
  </si>
  <si>
    <t>, liangbiao/0000-0002-0717-8536</t>
  </si>
  <si>
    <t>0737-4038</t>
  </si>
  <si>
    <t>1537-1719</t>
  </si>
  <si>
    <t>MOL BIOL EVOL</t>
  </si>
  <si>
    <t>Mol. Biol. Evol.</t>
  </si>
  <si>
    <t>10.1093/molbev/msn056</t>
  </si>
  <si>
    <t>Biochemistry &amp; Molecular Biology; Evolutionary Biology; Genetics &amp; Heredity</t>
  </si>
  <si>
    <t>299LX</t>
  </si>
  <si>
    <t>WOS:000255758200010</t>
  </si>
  <si>
    <t>Coscia, MR; Giacomelli, S; De Santi, C; Varriale, S; Oreste, U</t>
  </si>
  <si>
    <t>Coscia, Maria Rosaria; Giacomelli, Stefano; De Santi, Concetta; Varriale, Sonia; Oreste, Umberto</t>
  </si>
  <si>
    <t>Immunoglobulin light chain isotypes in the teleost Trematomus bernacchii</t>
  </si>
  <si>
    <t>MOLECULAR IMMUNOLOGY</t>
  </si>
  <si>
    <t>immunoglobulin light chain isotypes; teleosts; Antarctic teleosts; immunoglobulin light chain structure; immunoglobulin light chain evolution; Trematomus bernacchii; real-time PCR; molecular models</t>
  </si>
  <si>
    <t>COD GADUS-MORHUA; TROUT ONCORHYNCHUS-MYKISS; ANARHICHAS-MINOR OLAFSEN; T-CELL-RECEPTOR; RAINBOW-TROUT; COMMON CARP; GENOMIC ORGANIZATION; MAXIMUM-LIKELIHOOD; SEQUENCE ALIGNMENT; PROTEIN EVOLUTION</t>
  </si>
  <si>
    <t>Three immunoglobulin light chain (IgL) isotypes TrbeL1, TrbeL2, and TrbeL3 were identified in the Antarctic teleost Trematomus bernacchii by immunoscreening a cDNA expression library, and using RT-PCR, and 5' RACE. One of them was distinguished in two subisotypes TrbeL1A and TrbeL1B. Real-time PCR experiments showed that the different isotypes were expressed in similar ratios in the various tissues analyzed. Interestingly, the expression level of TrbeL1A isotype was very high in all tissues. Molecular models of the CH1-CL domain pairings were built and minimized for the different isotypes. Several differences were identified in the superimposable structures mainly in the loops. In addition, the isotype-specific residues determined a different distribution of the charges on the external CL domain surface. Phylogenetic trees of 43 isotype representative sequences of CL domain from teleost species, built by different methods, indicated that all teleost light chain isotypes are distributed into three groups. Furthermore, the split of the group IgL1 into two subgroups, one of them carrying a micro-satellite DNA insertion, may have occurred in the Acanthopterygean ancestor. (C) 2008 Elsevier Ltd. All rights reserved.</t>
  </si>
  <si>
    <t>[Coscia, Maria Rosaria; Giacomelli, Stefano; De Santi, Concetta; Varriale, Sonia; Oreste, Umberto] CNR, Inst Prot Biochem, I-80131 Naples, Italy</t>
  </si>
  <si>
    <t>Consiglio Nazionale delle Ricerche (CNR); Istituto di Biochimica delle Proteine (IBP-CNR)</t>
  </si>
  <si>
    <t>Oreste, U (corresponding author), CNR, Inst Prot Biochem, Via P Castellino 111, I-80131 Naples, Italy.</t>
  </si>
  <si>
    <t>u.oreste@ibp.cnr.it</t>
  </si>
  <si>
    <t>Coscia, Maria Rosaria/AAU-1808-2021</t>
  </si>
  <si>
    <t>0161-5890</t>
  </si>
  <si>
    <t>MOL IMMUNOL</t>
  </si>
  <si>
    <t>Mol. Immunol.</t>
  </si>
  <si>
    <t>10.1016/j.molimm.2008.03.006</t>
  </si>
  <si>
    <t>Biochemistry &amp; Molecular Biology; Immunology</t>
  </si>
  <si>
    <t>317MR</t>
  </si>
  <si>
    <t>WOS:000257024800010</t>
  </si>
  <si>
    <t>Batrak, KV</t>
  </si>
  <si>
    <t>Batrak, K. V.</t>
  </si>
  <si>
    <t>Hydrochemical characteristic of different modifications of Antarctic waters</t>
  </si>
  <si>
    <t>OCEANOLOGY</t>
  </si>
  <si>
    <t>The report considers the distribution of several hydrochemical components (dissolved oxygen, mineral phosphorus, dissolved silicon, and nitrate nitrogen) depending on the disposition of different structural water modifications constituting the unified Antarctic structural type. It is shown that the character of the silicon distribution in the waters of the South Polar zone is mainly determined by large-scale circulation features. The distribution of mineral phosphorus and nitrate nitrogen is characterized by a certain patchiness related to the photosynthesis intensity. An attempt was made to follow the supply and transformation of dissolved silicon, nitrates, and phosphates in the Antarctic.</t>
  </si>
  <si>
    <t>Russian Fed Res Inst Fisheries &amp; Oceanog, Moscow, Russia</t>
  </si>
  <si>
    <t>Research lnstitute of Fisheries &amp; Oceanography</t>
  </si>
  <si>
    <t>Batrak, KV (corresponding author), Russian Fed Res Inst Fisheries &amp; Oceanog, Moscow, Russia.</t>
  </si>
  <si>
    <t>marecol@vniro.ru</t>
  </si>
  <si>
    <t>Artamonova, Ksenia/AAT-9263-2021</t>
  </si>
  <si>
    <t>Artamonova, Ksenia/0000-0001-5036-7087</t>
  </si>
  <si>
    <t>0001-4370</t>
  </si>
  <si>
    <t>1531-8508</t>
  </si>
  <si>
    <t>OCEANOLOGY+</t>
  </si>
  <si>
    <t>Oceanology</t>
  </si>
  <si>
    <t>10.1134/S0001437008030065</t>
  </si>
  <si>
    <t>322NH</t>
  </si>
  <si>
    <t>WOS:000257382100006</t>
  </si>
  <si>
    <t>Demidov, AB; Vedernikov, VI; Gagarin, VI; Burenkov, VI</t>
  </si>
  <si>
    <t>Demidov, A. B.; Vedernikov, V. I.; Gagarin, V. I.; Burenkov, V. I.</t>
  </si>
  <si>
    <t>Phytoplankton production characteristics in the Eastern Atlantic and Atlantic sector of the Southern Ocean in October-November 2004</t>
  </si>
  <si>
    <t>CHLOROPHYLL-A; VERTICAL-DISTRIBUTION; ALGAL BIOMASS; WATERS; ZONE; TEMPERATURE; VARIABILITY; PROFILES; DYNAMICS; PIGMENTS</t>
  </si>
  <si>
    <t>Production parameters of surface phytoplankton were measured along three transects: La Manche-Cape Town (I); Cape Town-54 degrees S (II); 0 degrees-49 degrees W (along 54 degrees S) (III). The Canary upwelling waters were most productive along transect I, where the surface chlorophyll a (Chl (0)) and the surface primary production (PP (0)) were as high as 4.3 mg/m(3) and 173 mg C/m(3) per day, respectively. Mosaic patterns in the distribution of these parameters were recorded in the northeastern regions of the South Subtropical Anticyclonic Gyre (Chl(0) = 0.03-0.35 mg/m(3); PP0 = 1.6-12.6 mg C/m(3) per day). Along transect II, the average twofold southward increase in Chl(0) (from 0.2 to 0.4 mg/m(3)) and the concurrent decline of the phytoplankton assimilation activity (AN(0)) resulted in deviations from typical latitudinal changes in PP0. At most sites, PP0 values varied between 6 and 15 mg C/m(3) per day. Negligible changes in Chl(0) (0.36-0.85 mg/m(3)), PP0 (8-19 mg C/m(3) per day), and AN(0) (0.7-1.6 mg C/mg chl a per hour) were registered for the oceanic waters along transect III. Along all the transects, PP0 depended on Chl(0) to a greater extent than AN(0). The values of the latter parameter were largely determined by the water temperature and showed a slight correlation with the insolation. Along transect II, the integrated primary production (PPint) and the layer-integrated chlorophyll a in the upper 200 m (Chl(0-200)) generally varied from 180 to 360 mg C/m(2) per day and from 30 to 70 mg/m(2), respectively. In the Polar Front region, an increase in Chl(0-200), PPint, Chl(0), and PP0 up to respective values of 190 mg/m(2), 520 mg C/m(2) per day, 1.2 mg/m(3), and 32 mg C/m(3) per day was observed. A comparison of the water column (0-100 m) stability with the vertical distribution of the primary production and chlorophyll content along transect II implies that the thick (&gt; 100 m) upper mixed layer (UML) formed in response to the strong water cooling and wind forcing was largely responsible for the limited primary production in the Subantarctic and Antarctic regions. The large UML thickness resulted in an intense removal of plant cells from the photosynthetic layer and light starvation of a significant (up to 60%) part of the phytoplankton community.</t>
  </si>
  <si>
    <t>[Demidov, A. B.; Vedernikov, V. I.; Gagarin, V. I.; Burenkov, V. I.] Russian Acad Sci, Shirshov Inst Oceanol, Moscow, Russia</t>
  </si>
  <si>
    <t>Russian Academy of Sciences; Shirshov Institute of Oceanology</t>
  </si>
  <si>
    <t>Demidov, AB (corresponding author), Russian Acad Sci, Shirshov Inst Oceanol, Moscow, Russia.</t>
  </si>
  <si>
    <t>demspa@rambler.ru</t>
  </si>
  <si>
    <t>Demidov, Andrey/G-1043-2014</t>
  </si>
  <si>
    <t>Demidov, Andrey/0000-0002-1370-079X</t>
  </si>
  <si>
    <t>10.1134/S0001437008030089</t>
  </si>
  <si>
    <t>WOS:000257382100008</t>
  </si>
  <si>
    <t>Yang, YQ; Yao, Y</t>
  </si>
  <si>
    <t>Yang, Y. Q.; Yao, Y.</t>
  </si>
  <si>
    <t>Photosynthetic responses to solar UV-A and UV-B radiation in low-and high-altitude populations of Hippophae rhamnoides</t>
  </si>
  <si>
    <t>PHOTOSYNTHETICA</t>
  </si>
  <si>
    <t>abscisic acid; carotenoids; chlorophyll content and fluorescence; intra-specific response; photosystem 2; quenching photochemical and non-photochemical; sea buckthorn; relative water content; stomatal conductance; water use efficiency</t>
  </si>
  <si>
    <t>CARBON ISOTOPE DISCRIMINATION; ANTARCTIC VASCULAR PLANTS; WATER-USE EFFICIENCY; ULTRAVIOLET-B; PHYSIOLOGICAL-RESPONSES; FIELD CONDITIONS; CUCUMIS-SATIVUS; SEEDLINGS; ACCLIMATION; GROWTH</t>
  </si>
  <si>
    <t>Two contrasting sea buckthorn (Hippophae rhamnoides L.) populations from the low (LA) and high (HA) altitudinal regions were employed to evaluate the plant physiological responses to solar UV-A radiation and near-ambient UV-B radiation (UV-B+A) under the sheltered frames with different solar ultraviolet radiation transmittance. LA-population was more responsive to solar UV-A. Some modification caused by UV-A only existed in LA-population, such as significant reduction of leaf size, relative water content, and chlorophyll (Chl) b content as well as delta(13)C elevation, coupled with larger increase of contents of total carotenoids (Cars). This higher responsiveness might be an effective pre-acclimation strategy adapting for concomitant solar UV-B stress. Near-ambient UV-B+A radiation caused significant reduction of leaf size and Chl content as well as slight down-regulation of photosystem 2 activity that paralleled with higher heat dissipation, while photosynthetic rate was modestly but significantly increased. The higher photosynthesis under near-ambient UV-B+A radiation could be related to pronounced increase of leaf thickness and effective physiological modification, like the increase of leaf protective pigments (Cars and UV-absorbing compound), constant high photochemical capacity, and improved water economy.</t>
  </si>
  <si>
    <t>[Yao, Y.] Guizhou Univ, Res Inst Fruit Resources Karst Mt Reg, Guiyang 550025, Peoples R China; [Yang, Y. Q.] Chongqing Normal Univ, Coll Life Sci, Chongqing 400047, Peoples R China</t>
  </si>
  <si>
    <t>Guizhou University; Chongqing Normal University</t>
  </si>
  <si>
    <t>Yao, Y (corresponding author), Guizhou Univ, Res Inst Fruit Resources Karst Mt Reg, Guiyang 550025, Peoples R China.</t>
  </si>
  <si>
    <t>yaoyinan0430@sina.com</t>
  </si>
  <si>
    <t>0300-3604</t>
  </si>
  <si>
    <t>Photosynthetica</t>
  </si>
  <si>
    <t>10.1007/s11099-008-0056-2</t>
  </si>
  <si>
    <t>307TF</t>
  </si>
  <si>
    <t>WOS:000256340500026</t>
  </si>
  <si>
    <t>Dalla Rosa, L; Secchi, ER; Maia, YG; Zerbini, AN; Heide-Jorgensen, MP</t>
  </si>
  <si>
    <t>Dalla Rosa, L.; Secchi, E. R.; Maia, Y. G.; Zerbini, A. N.; Heide-Jorgensen, M. P.</t>
  </si>
  <si>
    <t>Movements of satellite-monitored humpback whales on their feeding ground along the Antarctic Peninsula</t>
  </si>
  <si>
    <t>humpback whale; satellite telemetry; movements; Antarctic Peninsula</t>
  </si>
  <si>
    <t>NARWHALS MONODON-MONOCEROS; MEGAPTERA-NOVAEANGLIAE; AUSTRAL SUMMER; HOME RANGES; VARIABILITY; CALIFORNIA; MIGRATION; GERLACHE; BEHAVIOR; HABITAT</t>
  </si>
  <si>
    <t>Humpback whales were instrumented with satellite transmitters off the western Antarctic Peninsula in January of 2004-2006 to examine their movement patterns and habitat use. Whales were tracked from 4 to 80 days (mean = 36.5 days). Distance and travel rate estimates for nine individuals ranged from 223 to 4,356 km and from 17 to 75 km/day, respectively. Considerable individual variation was observed in direction, speed and range of movements. The overall pattern was characterized by short- and long-distance movements between presumed foraging areas with relatively short residency times. Travel rates were lower at these sites, characterized by erratic movements, than during traveling between them. Area usage for six individuals based on the 95% fixed kernel home range with least squares cross-validation ranged from 2,771 to 172,356 km(2). The management boundary between the feeding grounds associated with Breeding Stocks G and A needs revision, as current available data suggest it should be located to the east of 50 degrees W. This study is the first to present detailed information on the movements of humpback whales in the Southern Ocean.</t>
  </si>
  <si>
    <t>[Dalla Rosa, L.] Univ British Columbia, Dept Zool, AERL, Vancouver, BC V6T 1Z4, Canada; [Dalla Rosa, L.; Secchi, E. R.] Fundacao Univ Fed Rio Grande, Projeto Baleias GOAL Brazilian Antarctic Program, Lab Mamiferos Marinhos, Museu Oceanog Prof Eliezer C Rios, BR-96200970 Rio Grande, RS, Brazil; [Secchi, E. R.] Fundacao Univ Fed Rio Grande, Lab Tartarugas &amp; Mamiferos Marinhos, Dept Oceanog, BR-96201900 Rio Grande, RS, Brazil; [Maia, Y. G.; Zerbini, A. N.] Inst Aqualie, Projeto Monitoramento Baleias Satelite, BR-22763010 Rio De Janeiro, Brazil; [Zerbini, A. N.] NOAA Fisheries, Natl Marine Mammal Lab, Alaska Fisheries Sci Ctr, Seattle, WA 98115 USA; [Heide-Jorgensen, M. P.] Greenland Inst Nat Resources, Nuuk 3900, Greenland</t>
  </si>
  <si>
    <t>University of British Columbia; Universidade Federal do Rio Grande; Universidade Federal do Rio Grande; National Oceanic Atmospheric Admin (NOAA) - USA; Greenland Institute of Natural Resources</t>
  </si>
  <si>
    <t>Dalla Rosa, L (corresponding author), Univ British Columbia, Dept Zool, AERL, Room 247,2202 Main Hall, Vancouver, BC V6T 1Z4, Canada.</t>
  </si>
  <si>
    <t>dalla@zoology.ubc.ca</t>
  </si>
  <si>
    <t>Rosa, Luciano Dalla/D-5660-2012; Secchi, Eduardo/D-5038-2013; Zerbini, Alexandre/G-4138-2012; Secchi, Eduardo R./ABF-1191-2020; Heide-Jørgensen, Mads Peter/F-6464-2011; Zerbini, Alexandre/ABH-3916-2020</t>
  </si>
  <si>
    <t>Rosa, Luciano Dalla/0000-0002-1583-6471; Secchi, Eduardo/0000-0001-9087-9909; Secchi, Eduardo R./0000-0001-9087-9909; Zerbini, Alexandre/0000-0002-9776-6605</t>
  </si>
  <si>
    <t>10.1007/s00300-008-0415-2</t>
  </si>
  <si>
    <t>303AH</t>
  </si>
  <si>
    <t>WOS:000256011100001</t>
  </si>
  <si>
    <t>Van de Vijver, B; Gremmen, N; Smith, V</t>
  </si>
  <si>
    <t>Van de Vijver, Bart; Gremmen, Niek; Smith, Valdon</t>
  </si>
  <si>
    <t>Diatom communities from the sub-Antarctic Prince Edward Islands: diversity and distribution patterns</t>
  </si>
  <si>
    <t>diatoms; bacillariophyta; Prince Edward Islands; sub-Antarctica; ecology</t>
  </si>
  <si>
    <t>ALIEN VASCULAR PLANTS; STROMNESS BAY AREA; MARION ISLAND; CLIMATE-CHANGE; SOUTH GEORGIA; HABITATS; NUMBER</t>
  </si>
  <si>
    <t>During an extensive survey of the freshwater and moss-inhabiting diatoms of the Prince Edward Islands, a total of 214 taxa belonging to 60 genera were found. Three main communities can be found on the two islands. A large part of the samples was grouped into an aquatic group, bringing together all samples from lentic and lotic waterbodies. A second, contrasting, group was formed by all dry samples whereas in a third group all habitats with higher mineral contents were found. The habitats differed clearly in taxa composition reflecting that way possible environmental differences. Although the diatom composition between the two islands of this island group (Marion and Prince Edward Island) showed some minor qualitative differences, no marked quantitative differences have been observed. The diatom flora shows a distinct similarity with the other islands in the southern Indian Ocean, such as the Crozet archipelago and the Kerguelen Islands forming a biogeographical entity in this part of the ocean, distinctly separated from the non-marine diatom flora in other parts of the (sub-)Antarctic Region.</t>
  </si>
  <si>
    <t>[Van de Vijver, Bart] Natl Plantentuin Belgie, Dept Bryophyta &amp; Thallophyta, B-1860 Domein Van Bouchout, Meise, Belgium; [Gremmen, Niek] Data Analyse Ecol, NL-7981 CD Diever, Netherlands; [Smith, Valdon] Univ Stellenbosch, Dept Bot &amp; Zool, ZA-7602 Matieland, South Africa</t>
  </si>
  <si>
    <t>Van de Vijver, B (corresponding author), Natl Plantentuin Belgie, Dept Bryophyta &amp; Thallophyta, B-1860 Domein Van Bouchout, Meise, Belgium.</t>
  </si>
  <si>
    <t>vandevijver@br.fgov.be</t>
  </si>
  <si>
    <t>10.1007/s00300-008-0418-z</t>
  </si>
  <si>
    <t>WOS:000256011100003</t>
  </si>
  <si>
    <t>Waller, CL</t>
  </si>
  <si>
    <t>Waller, Catherine L.</t>
  </si>
  <si>
    <t>Variability in intertidal communities along a latitudinal gradient in the Southern Ocean</t>
  </si>
  <si>
    <t>diversity; Antarctic; intertidal; Community structure</t>
  </si>
  <si>
    <t>ANTARCTIC PENINSULA; SPECIES-DIVERSITY; ADELAIDE ISLAND; PALMER STATION; DISTURBANCE; ICE; COMPETITION; FAUNA; ZONE; COLONIZATION</t>
  </si>
  <si>
    <t>Despite being one of the most intensely studied habitat types worldwide, the intertidal region around Antarctica has received little more than superficial study. Despite this, the first detailed study of a single locality on the Antarctic Peninsula reported previously unanticipated levels of species richness, biomass and diversity in cryptic intertidal habitats. The current study extends the coverage achieved from this single locality. The intertidal zone at sites in the Scotia Arc, the Falkland Islands and the Antarctic Peninsula was investigated. At all the study sites selected, a wide range of macrofauna was found inhabiting the littoral fringe. These communities, although generally cryptic and occupying predominantly the undersides of boulders and protected interstices, at some locations and sites were rich at multiple taxonomic levels. Across the study locations species richness in the intertidal zone ranged from 7 to 30 species. The highest species richness and diversity were found at high latitude localities, which experienced the highest physical disturbance due to ice scour, and appeared superficially to be denuded of life. Species assemblages varied with latitude with Adelaide Island having a high proportion of bryozoans relative to all other localities.</t>
  </si>
  <si>
    <t>[Waller, Catherine L.] Univ Brighton, Sch Pharm &amp; Biomol Sci, Brighton BN2 4GJ, E Sussex, England; [Waller, Catherine L.] British Antarctic Survey, Cambridge CB3 0ET, England</t>
  </si>
  <si>
    <t>University of Brighton; UK Research &amp; Innovation (UKRI); Natural Environment Research Council (NERC); NERC British Antarctic Survey</t>
  </si>
  <si>
    <t>Waller, CL (corresponding author), Univ Brighton, Sch Pharm &amp; Biomol Sci, Brighton BN2 4GJ, E Sussex, England.</t>
  </si>
  <si>
    <t>c.l.waller@brighton.ac.uk</t>
  </si>
  <si>
    <t>Waller, Catherine L/0000-0002-0836-3223</t>
  </si>
  <si>
    <t>10.1007/s00300-008-0419-y</t>
  </si>
  <si>
    <t>WOS:000256011100004</t>
  </si>
  <si>
    <t>Sohlenius, B; Boström, S</t>
  </si>
  <si>
    <t>Sohlenius, B.; Bostrom, S.</t>
  </si>
  <si>
    <t>Species diversity and random distribution of microfauna in extremely isolated habitable patches on Antarctic nunataks</t>
  </si>
  <si>
    <t>Antarctic nunataks; competition; fellfield; moss; nematodes; ornithogenic soil; predation; rotifers; tardigrades</t>
  </si>
  <si>
    <t>SOUTHERN VICTORIA LAND; MCMURDO DRY VALLEYS; DRONNING-MAUD-LAND; SOIL BIODIVERSITY; NEMATODES; TARDIGRADES; INVERTEBRATES; ECOSYSTEMS; ROTIFERS; BIOGEOCHEMISTRY</t>
  </si>
  <si>
    <t>Populations of metazoan microfauna (nematodes, rotifers and tardigrades) are patchily distributed on mountain outcrops penetrating the ice sheet (nunataks) in continental Antarctica. The abundance and fauna composition of microscopic animals vary greatly also among samples from similar types of habitats. Occurrence of similar seemingly habitable sites without microfauna and sites with various combinations of animal taxa indicates that stochastic colonization processes as well as local environmental factors and historical factors influence faunal composition in a specific habitable patch. The abundance of nematodes, rotifers and tardigrades in various combinations of co-occurrence was analyzed. One objective was to investigate if biotic interactions structuring these simple communities could be observed. The 368 samples analysed originate from three kinds of habitats, viz. mosses, ornithogenic soils and fellfield soils, obtained from 14 nunataks in Dronning Maud Land, East Antarctica. It is suggested that high population densities of any of the three animal groups, when they were found alone and lower densities, when they coexisted with other taxa could indicate the presence of competition or predation. However, the great variability in microfauna densities for similar habitable patches made it difficult to find significant differences among population densities in samples with varying complexity.</t>
  </si>
  <si>
    <t>[Sohlenius, B.; Bostrom, S.] Swedish Museum Nat Hist, Dept Invertebrate Zool, S-10405 Stockholm, Sweden</t>
  </si>
  <si>
    <t>Swedish Museum of Natural History</t>
  </si>
  <si>
    <t>Sohlenius, B (corresponding author), Swedish Museum Nat Hist, Dept Invertebrate Zool, Box 50007, S-10405 Stockholm, Sweden.</t>
  </si>
  <si>
    <t>bjorn.sohlenius@nrm.se</t>
  </si>
  <si>
    <t>10.1007/s00300-008-0420-5</t>
  </si>
  <si>
    <t>WOS:000256011100005</t>
  </si>
  <si>
    <t>Malzof, SL; Quintana, RD</t>
  </si>
  <si>
    <t>Malzof, Silvina L.; Quintana, Ruben D.</t>
  </si>
  <si>
    <t>Diet of the south polar skua Catharacta maccormicki and the brown skua C-antarctica lonnbergi at Cierva Point, Antarctic Peninsula</t>
  </si>
  <si>
    <t>Antarctic Peninsula; brown skua; diet composition; sympatric breeding; south polar skua; trophic niche breadth; trophic niche overlap</t>
  </si>
  <si>
    <t>GREAT SKUAS; FEEDING TERRITORIES; PREDATION; ISLAND; ECOLOGY; DIGESTION; PETRELS; FOODS; RATES; BIRD</t>
  </si>
  <si>
    <t>South polar skuas, SPS, (Catharacta maccormicki) and brown skuas, BS, (C. antarctica lonnbergi) are regarded as opportunistic predators. When breeding in sympatry, BS feed mainly on penguin eggs and chicks, while SPS forage almost exclusively at sea. The objective of this study was to determine the diet composition of adult SPS and BS breeding in sympatry, in order to assess food resource partitioning between these species. The total number of food items consumed was 375 for BS and 682 for SPS in 1992-93, and 427 for BS and 579 for SPS in 1995-96. The pellets composition was significantly correlated between skua species for the same breeding season (r(s) = 0.67, p = 0.0062 and r(s) = 0.81, p &lt; 0.001, for 1992-93 and 1995-96, respectively), and between breeding seasons for the same skua species (r(s) = 0.71, p = 0.001 and r(s) = 0.81, p &lt; 0.001, for SPS and BS, respectively). Trophic niche breadth of BS was wider than that of SPS (B (A(BS)) = 0.28 and B (A(SPS)) = 0.24; Z = 7.67; p &lt; 0.001). The trophic niche overlap between BS and SPS was over 65% in both breeding seasons. In agreement with other studies on the diet of these skua species in situations of sympatry, SPS consumed more fish and BS consumed more birds.</t>
  </si>
  <si>
    <t>[Malzof, Silvina L.; Quintana, Ruben D.] Univ Buenos Aires, Lab Ecol Reg, Dpto Ecol Genet &amp; Evoluc, FCEyN, RA-1428 Buenos Aires, DF, Argentina; [Quintana, Ruben D.] Consejo Nacl Invest Cient &amp; Tecn, Natl Sci &amp; Tech Council, RA-1033 Buenos Aires, DF, Argentina</t>
  </si>
  <si>
    <t>University of Buenos Aires; Consejo Nacional de Investigaciones Cientificas y Tecnicas (CONICET)</t>
  </si>
  <si>
    <t>Quintana, RD (corresponding author), Univ Buenos Aires, Lab Ecol Reg, Dpto Ecol Genet &amp; Evoluc, FCEyN, Pabellon 2,Ciudad Univ, RA-1428 Buenos Aires, DF, Argentina.</t>
  </si>
  <si>
    <t>rubenq@ege.fcen.uba.ar</t>
  </si>
  <si>
    <t>Quintana, Ruben/0000-0003-1378-9074</t>
  </si>
  <si>
    <t>10.1007/s00300-008-0421-4</t>
  </si>
  <si>
    <t>WOS:000256011100006</t>
  </si>
  <si>
    <t>Collins, MA; Xavier, JC; Johnston, NM; North, AW; Enderlein, P; Tarling, GA; Waluda, CM; Hawker, EJ; Cunningham, NJ</t>
  </si>
  <si>
    <t>Collins, Martin A.; Xavier, Jose C.; Johnston, Nadine M.; North, Anthony W.; Enderlein, Peter; Tarling, Geraint A.; Waluda, Claire M.; Hawker, Elizabeth J.; Cunningham, Nathan J.</t>
  </si>
  <si>
    <t>Patterns in the distribution of myctophid fish in the northern Scotia Sea ecosystem</t>
  </si>
  <si>
    <t>Electrona; Krefftichthys; Protomyctophum; Gymnoscopelus; vertical migration; South Georgia</t>
  </si>
  <si>
    <t>SOUTHERN-OCEAN; APTENODYTES-PATAGONICUS; ARCTOCEPHALUS-GAZELLA; FORAGING BEHAVIOR; MESOPELAGIC FISH; FEEDING ECOLOGY; GEORGIA; PREY; DIET; ANTARCTICA</t>
  </si>
  <si>
    <t>The mesopelagic fish community of the northern Scotia Sea was investigated during the austral autumn using multi-frequency acoustics, opening and closing nets and pelagic trawls fished from the surface to 1,000 m. The Family Myctophidae (15 species in 5 genera) dominated the ichthyofauna, with larval notothenids caught over the South Georgia shelf and bathylagids and stomiids abundant in deeper hauls. The biomass of myctophids was estimated to be 2.93 g wet weight 1,000 m(-3), with Electrona carlsbergi, E. antarctica, Protomyctophum bolini, P. choriodon, Gymnoscopelus braueri, G. fraseri, G. nicholsi and Krefftichthys anderssoni, being the most abundant species. Analysis of community structure indicated a high level of depth stratification within the myctophids, with evidence of diurnal vertical migration in some, but not all, species. Length-frequencies of G. braueri, G. nicholsi, E. antarctica and K. anderssoni were multimodal, suggesting that all life stages may be present in the northern Scotia Sea. In contrast, P. choriodon, P. bolini, G. fraseri and E. carlsbergi had unimodal distributions despite having multi-year lifecycles, indicating that they probably migrate into the region from warmer areas to the north.</t>
  </si>
  <si>
    <t>[Collins, Martin A.; Xavier, Jose C.; Johnston, Nadine M.; North, Anthony W.; Enderlein, Peter; Tarling, Geraint A.; Waluda, Claire M.; Hawker, Elizabeth J.; Cunningham, Nathan J.] British Antarctic Survey, NERC, Cambridge CB3 0ET, England</t>
  </si>
  <si>
    <t>Collins, MA (corresponding author), British Antarctic Survey, NERC, High Cross,Madingley Rd, Cambridge CB3 0ET, England.</t>
  </si>
  <si>
    <t>macol@bas.ac.uk</t>
  </si>
  <si>
    <t>Collins, Martin A/J-8560-2017; Xavier, José/KFB-6739-2024; , Martin/ABE-6728-2020; Cunningham, Nathan J/B-9591-2008</t>
  </si>
  <si>
    <t>, Martin/0000-0001-7132-8650; Johnston, Nadine M/0000-0003-2211-1492; /0000-0002-9621-6660; Cunningham, Nathan/0000-0003-4941-504X</t>
  </si>
  <si>
    <t>10.1007/s00300-008-0423-2</t>
  </si>
  <si>
    <t>WOS:000256011100007</t>
  </si>
  <si>
    <t>Komárek, J; Elster, J; Komárek, O</t>
  </si>
  <si>
    <t>Komarek, Jiri; Elster, Josef; Komarek, Ondrej</t>
  </si>
  <si>
    <t>Diversity of the cyanobacterial microflora of the northern part of James Ross Island, NW Weddell Sea, Antarctica</t>
  </si>
  <si>
    <t>cyanobacteria; diversity; Antarctica; ecology</t>
  </si>
  <si>
    <t>MCMURDO ICE SHELF; MORPHOLOGICAL CHARACTERIZATION; VICTORIA LAND; CIERVA POINT; HOPE BAY; ALGAE; COMMUNITIES; PERIPHYTON; ECOSYSTEM; STRAINS</t>
  </si>
  <si>
    <t>The diversity and ecological distribution of cyanobacteria in the northern, deglaciated part of James Ross Island were studied during the Antarctic summer season 2005-2006. Seventy-five cyanobacterial morphotypes were observed in various habitats of this area. The identified cyanobacterial taxa belong to the characteristic and dominant types of coastal Antarctica, and majority of them appeared connected to special habitats and formed distinct populations and ecologically delimited communities. The results are compared and discussed with respect to phenotypically characterised cyanobacterial microflora of maritime Antarctica and to recent molecular analyses of cyanobacterial strains from different Antarctic regions. The existence of a specificity and characteristic composition of Antarctic cyanobacterial communities was demonstrated.</t>
  </si>
  <si>
    <t>[Komarek, Jiri; Elster, Josef; Komarek, Ondrej] Univ S Bohemia, Inst Bot AS CR, Trebon 37982, Czech Republic; [Komarek, Jiri; Elster, Josef; Komarek, Ondrej] Univ S Bohemia, Fac Biol Sci, Trebon 37982, Czech Republic; [Komarek, Ondrej] Univ S Bohemia, Inst Syst Biol &amp; Ecol AS CR, Nove Hrady 37333, Czech Republic; [Komarek, Ondrej] Univ S Bohemia, Inst Phys Biol, Nove Hrady 37333, Czech Republic</t>
  </si>
  <si>
    <t>University of South Bohemia Ceske Budejovice; Czech Academy of Sciences; Institute of Botany of the Czech Academy of Sciences; University of South Bohemia Ceske Budejovice; University of South Bohemia Ceske Budejovice; Czech Academy of Sciences; University of South Bohemia Ceske Budejovice</t>
  </si>
  <si>
    <t>Komárek, J (corresponding author), Univ S Bohemia, Inst Bot AS CR, Dukelska 135, Trebon 37982, Czech Republic.</t>
  </si>
  <si>
    <t>komarek@butbn.cas.cz; jelster@butbn.cas.cz; okomar@greentech.cz</t>
  </si>
  <si>
    <t>Komarek, Ondrej/J-9203-2014; Elster, Josef/B-1031-2008; Komarek, Jiri/H-1597-2014; Komárek, Ondřej/AAA-9707-2020</t>
  </si>
  <si>
    <t>Komarek, Ondrej/0000-0002-3855-3335; Elster, Josef/0000-0002-4535-5636</t>
  </si>
  <si>
    <t>10.1007/s00300-008-0424-1</t>
  </si>
  <si>
    <t>WOS:000256011100008</t>
  </si>
  <si>
    <t>Schulte, GG; Elnitsky, MA; Benoit, JB; Denlinger, DL; Lee, RE</t>
  </si>
  <si>
    <t>Schulte, Glen G.; Elnitsky, Michael A.; Benoit, Joshua B.; Denlinger, David L.; Lee, Richard E., Jr.</t>
  </si>
  <si>
    <t>Extremely large aggregations of collembolan eggs on Humble Island, Antarctica: a response to early seasonal warming?</t>
  </si>
  <si>
    <t>collembola; reproduction; egg aggregation; Antarctic arthropod</t>
  </si>
  <si>
    <t>SOIL ARTHROPODS; WATER; STRATEGIES</t>
  </si>
  <si>
    <t>In January 2007 we discovered numerous large aggregations of collembolan eggs on Humble Island near Palmer Station (64 degrees 46'S, 64 degrees 03'W). These aggregations were found in damp areas under rocks, moss, mats of the terrestrial alga Prasiola crispa, and at the interface between vegetation and the rocky substrate. Aggregations ranged in size from hundreds of eggs to the largest, whose estimated size exceeded 2 million eggs. Such aggregations were not observed in previous years. Associated with these aggregations were two collembolan species, Cryptopygus antarcticus (Willem) and Friesea grisea (Schaffer). Spring warming occurred approximately 7 weeks earlier in 2006 compared to the previous year. This early warming and consequent extended period of relatively high temperatures may have modified thermal and hydric conditions favoring collembolan growth and development and the formation of these large aggregations.</t>
  </si>
  <si>
    <t>[Elnitsky, Michael A.; Lee, Richard E., Jr.] Miami Univ, Dept Zool, Oxford, OH 45056 USA; [Schulte, Glen G.] Cincinnati Publ Sch, Zoo Acad, Hughes Ctr, Cincinnati, OH 45220 USA; [Benoit, Joshua B.; Denlinger, David L.] Ohio State Univ, Dept Entomol, Columbus, OH 43210 USA</t>
  </si>
  <si>
    <t>10.1007/s00300-008-0445-9</t>
  </si>
  <si>
    <t>WOS:000256011100011</t>
  </si>
  <si>
    <t>Meincke, J; Church, J</t>
  </si>
  <si>
    <t>Meincke, Jens; Church, John</t>
  </si>
  <si>
    <t>Matthias Tomczak</t>
  </si>
  <si>
    <t>PROGRESS IN OCEANOGRAPHY</t>
  </si>
  <si>
    <t>Biographical-Item</t>
  </si>
  <si>
    <t>[Meincke, Jens] Univ Hamburg, Ctr Marine &amp; Climate Res, Inst Oceanog, D-20146 Hamburg, Germany; [Church, John] CSIRO Marine &amp; Atmospher Res, Hobart, Tas 7001, Australia; [Church, John] Antarctic Climate &amp; Ecosyst Cooperat Res Ctr, Hobart, Tas, Australia</t>
  </si>
  <si>
    <t>University of Hamburg; Commonwealth Scientific &amp; Industrial Research Organisation (CSIRO); Antarctic Climate &amp; Ecosystems Cooperative Research Centre (ACE CRC)</t>
  </si>
  <si>
    <t>Meincke, J (corresponding author), Univ Hamburg, Ctr Marine &amp; Climate Res, Inst Oceanog, Bundesstr 53, D-20146 Hamburg, Germany.</t>
  </si>
  <si>
    <t>j.e.meincke@t-online.de; john.Church@csiro.au</t>
  </si>
  <si>
    <t>Church, John A/A-1541-2012</t>
  </si>
  <si>
    <t>Church, John A/0000-0002-7037-8194</t>
  </si>
  <si>
    <t>0079-6611</t>
  </si>
  <si>
    <t>PROG OCEANOGR</t>
  </si>
  <si>
    <t>Prog. Oceanogr.</t>
  </si>
  <si>
    <t>10.1016/j.pocean.2007.05.008</t>
  </si>
  <si>
    <t>331ON</t>
  </si>
  <si>
    <t>WOS:000258021600002</t>
  </si>
  <si>
    <t>Zenk, W</t>
  </si>
  <si>
    <t>Zenk, Walter</t>
  </si>
  <si>
    <t>Temperature fluctuations and current shear in Antarctic Bottom Water at the Vema Sill</t>
  </si>
  <si>
    <t>Antarctic Bottom Water; Richardson numbers; Argentine Basin; Rio Grande Rise; Vema Channel; Vema Sill</t>
  </si>
  <si>
    <t>BRAZIL BASIN; ATLANTIC-OCEAN; CIRCULATION; CHANNEL; FLOW; TRANSPORT; BOUNDARY</t>
  </si>
  <si>
    <t>The Vema Channel acts as a major conduit for the equatorward spreading of Antarctic Bottom Water between the Argentine and Brazil Basins. For almost two years the thermal stratification above its saddle depth (4660 m) - called Vema Sill - was recorded by moored thermistors and current meters The lowest. 490 m of the water column was instrumented to monitor the well-developed benthic boundary layer of Antarctic Bottom Water. The latter can be subdivided into Weddell Sea Deep Water on the sea bed and lower Circumpolar Deep Water above it. The data show fluctuations on various scales including periods, each about 1-2 weeks long, when the abyssal stratification virtually disappeared. Assuming a stable ratio between density and temperature, time series of bulk Richardson numbers are estimated from temperature and current shear data. The results suggest a potential for intermittent episodes of locally generated vertical mixing. (C) 2008 Elsevier Ltd. All rights reserved.</t>
  </si>
  <si>
    <t>Univ Kiel, IFM GEOMAR, Leibniz Inst Meereswissensch, D-24105 Kiel, Germany</t>
  </si>
  <si>
    <t>University of Kiel; Helmholtz Association; GEOMAR Helmholtz Center for Ocean Research Kiel</t>
  </si>
  <si>
    <t>Zenk, W (corresponding author), Univ Kiel, IFM GEOMAR, Leibniz Inst Meereswissensch, Dusternbrooker Weg 20, D-24105 Kiel, Germany.</t>
  </si>
  <si>
    <t>wzenk@ifm-geomar.de</t>
  </si>
  <si>
    <t>10.1016/j.pocean.2006.05.006</t>
  </si>
  <si>
    <t>WOS:000258021600003</t>
  </si>
  <si>
    <t>Sprintall, J</t>
  </si>
  <si>
    <t>Sprintall, Janet</t>
  </si>
  <si>
    <t>Long-term trends and interannual variability of temperature in Drake Passage</t>
  </si>
  <si>
    <t>ANTARCTIC CIRCUMPOLAR CURRENT; SEA-ICE EXTENT; SOUTHERN-HEMISPHERE; SURFACE-TEMPERATURE; CLIMATE-CHANGE; EXTRATROPICAL CIRCULATION; OCEAN CIRCULATION; ANNULAR MODES; ANOMALIES; WAVE</t>
  </si>
  <si>
    <t>Temperature data collected over the last 36 years (1969-2004) in Drake Passage are used to examine interannual temperature variation and long-term trends in the upper ocean. To reduce the effect of variation from different sampling locations and temporal variability introduced by meridional shifts in the Polar Front (PF), the data were divided into two sub-regions north (similar to 3800 temperature profiles) and south (similar to 3400) of the PF. Temperature anomalies were formed by removing a temporal mean field for each profile in each sub-region at 100 m depth intervals from the surface to 700 m. North of the PF, statistically significant warming trends of similar to 0.02 degrees C yr(-1) were observed that were largely depth-independent between 100 and 700 m. A statistically significant cooling trend of -0.07 degrees C yr(-1) was observed at the surface south of the PF, which was smaller (0.04 degrees C yr(-1)) but still statistically significant when possible seasonal sampling biases were accounted for. The observed cooling at the surface and warming at depth is largely consistent with a poleward shift of the PF due to enhancement of westerly winds in the Southern Ocean, as recently suggested by models and observations. The observed annual temperature anomalies in the upper 400 m north of the PF and in the upper 100 m south of the PF are highly correlated to variability in sea ice, and also to climate indices of the Antarctic Oscillation and the El Nino Southern Oscillation. Variability in sea ice and temperature anomalies lag El Nino variability in the Pacific, with a phasing consistent with the observed cyclical patterns of sea ice and sea surface temperature associated with the Antarctic Circumpolar Wave or Antarctic Dipole Mode in the Southern Ocean. In contrast, the sea ice variability and temperature anomalies at all depths north of the PF and at 0-100 m depth south of the PF were primarily coincident with, or led the Antarctic Oscillation Index. No significant correlations were found with the large-scale climate variability indices in southern Drake Passage below 100 m depth, which is occupied by upper Circumpolar Deep Water (uCDW). This water mass is not formed locally, is largely isolated from the surface, and exhibits vertical and lateral homogeneity. Hence changes may be difficult to detect in the available measurements, and climate variation in the source water regions of uCDW may take a long time to reach Drake Passage. (C) 2008 Published by Elsevier Ltd.</t>
  </si>
  <si>
    <t>Univ Calif San Diego, Scripps Inst Oceanog, La Jolla, CA 92093 USA</t>
  </si>
  <si>
    <t>University of California System; University of California San Diego; Scripps Institution of Oceanography</t>
  </si>
  <si>
    <t>Sprintall, J (corresponding author), Univ Calif San Diego, Scripps Inst Oceanog, 9500 Gilman Dr, La Jolla, CA 92093 USA.</t>
  </si>
  <si>
    <t>sprintall@ucsd.edu</t>
  </si>
  <si>
    <t>10.1016/j.pocean.2006.06.004</t>
  </si>
  <si>
    <t>WOS:000258021600006</t>
  </si>
  <si>
    <t>Morrow, R; Valladeau, G; Sallee, JB</t>
  </si>
  <si>
    <t>Morrow, Rosemary; Valladeau, Guillaume; Sallee, Jean-Baptiste</t>
  </si>
  <si>
    <t>Observed subsurface signature of Southern Ocean sea level rise</t>
  </si>
  <si>
    <t>Southern Ocean; fronts; sealevel; climate modes</t>
  </si>
  <si>
    <t>ANTARCTIC CIRCUMPOLAR CURRENT; EXTRATROPICAL CIRCULATION; SEASONAL EVOLUTION; ANNULAR MODES; DRAKE PASSAGE; MIXED-LAYER; ZONE SOUTH; TASMANIA; VARIABILITY; TEMPERATURE</t>
  </si>
  <si>
    <t>Satellite altimetry data show a strong increase in sea level in various parts of the Southern Ocean over the 1990s. In this paper, we examine the causes of the observed sea level rise in the region south of Australia, using 13 years of repeat hydrographic data from the WOCE SR3 sections, and the SURVOSTRAL XBT and surface salinity data. The hydrographic data show a poleward shift in the position of the Subtropical and the Subantarctic Fronts over the period. In the Antarctic Zone, the Antarctic Surface Water has become warmer and fresher, and the Winter Water tongue has become warmer, fresher, thinner and shallower. Increased freshening south of the Polar Front is linked to increased precipitation over the 1990s. Temperature changes over the upper 500 m account for only part of the altimetric sea level rise. The CTD sections show that the deeper layers are also warmer and slightly saltier and the observed sea level can be explained by steric expansion over the upper 2000 m. ENSO variability impacts on the northern part of the section, and a simple Sverdrup transport model shows how large-scale changes in the wind forcing, related to the Southern Annular Mode, may contribute to the deeper warming to the south. (C) 2008 Elsevier Ltd. All rights reserved.</t>
  </si>
  <si>
    <t>[Morrow, Rosemary; Valladeau, Guillaume; Sallee, Jean-Baptiste] LEGOS OMP, F-31401 Toulouse 9, France</t>
  </si>
  <si>
    <t>Universite de Toulouse; Universite Toulouse III - Paul Sabatier; Centre National de la Recherche Scientifique (CNRS); Institut de Recherche pour le Developpement (IRD); Laboratoire d'Etudes en Geophysique et oceanographie spatiales</t>
  </si>
  <si>
    <t>Morrow, R (corresponding author), LEGOS OMP, 18 Av Edouard Belin, F-31401 Toulouse 9, France.</t>
  </si>
  <si>
    <t>Rosemary.Morrow@cnes.fr</t>
  </si>
  <si>
    <t>10.1016/j.pocean.2007.03.002</t>
  </si>
  <si>
    <t>WOS:000258021600008</t>
  </si>
  <si>
    <t>Suwa, M; Bender, ML</t>
  </si>
  <si>
    <t>Suwa, Makoto; Bender, Michael L.</t>
  </si>
  <si>
    <t>Chronology of the Vostok ice core constrained by O2/N2 ratios of occluded air, and its implication for the Vostok climate records</t>
  </si>
  <si>
    <t>LATE PLEISTOCENE; GREENLAND CLIMATE; MONSOON RECORD; ANTARCTIC ICE; SOREQ CAVE; CLOSE-OFF; HULU CAVE; GASES; FRACTIONATION; TEMPERATURE</t>
  </si>
  <si>
    <t>We present a timescale for the Vostok ice core that is derived by orbitally tuning to O-2/N-2 ratios in occluded air for depths deeper than 1550 m (&gt; 112 ka), and by gas correlation to the GISP2 chronology for the section shallower than 1422 m (&lt; 102 ka). Our chronology of the deeper section rests on the assumption that, during the bubble close off process, local summer insolation indirectly controls the extent of O-2 exclusion and hence the O-2/N-2 ratio in trapped gases. The newly derived O-2/N-2 chronology is consistent with absolutely dated speleothem records. The O-2/N-2 chronology differs from previously published orbital tuning chronologies (CH4 and delta O-18(atm)) by up to similar to +/- 6 kyr, and from the original GT4 chronology by up to similar to 15 kyr. The difference between the O-2/N-2 chronology and the delta O-18(atm) chronology varies in time with strong signals centered at 1/100 and 1/41 kyr(-1). The ages for the last four glacial terminations in Vostok correspond to high obliquity (&gt;23.7 degrees at terminations' midpoints). They also correspond with decreasing precession index, corresponding to increasing boreal summer insolation. The Vostok temperature record, boreal summer insolation, and the rate of change of the SPECMAP property (reflecting planktonic foram delta O-18) with respect to time are highly coherent at precession and obliquity periods. These three properties vary almost synchronously, with the possibility that Vostok temperature lags behind the other two. Our new timescale supports the widespread view that boreal summer insolation played an important role in glacial-interglacial cycles. (C) 2008 Elsevier Ltd. All rights reserved.</t>
  </si>
  <si>
    <t>[Suwa, Makoto; Bender, Michael L.] Princeton Univ, Dept Geosci, Princeton, NJ 08544 USA</t>
  </si>
  <si>
    <t>Princeton University</t>
  </si>
  <si>
    <t>Suwa, M (corresponding author), JICA, Rwanda Off, BP 6878, Kacyiru, Kigali, Rwanda.</t>
  </si>
  <si>
    <t>msuwa@princeton.edu; bender@princeton.edu</t>
  </si>
  <si>
    <t>11-12</t>
  </si>
  <si>
    <t>10.1016/j.quascirev.2008.02.017</t>
  </si>
  <si>
    <t>321IK</t>
  </si>
  <si>
    <t>WOS:000257297800001</t>
  </si>
  <si>
    <t>Costa, ES; Alves, MAS</t>
  </si>
  <si>
    <t>Costa, Erli Schneider; Alves, Maria Alice S.</t>
  </si>
  <si>
    <t>The breeding birds of Hennequin Point: an ice-free area of Admiralty Bay (Antarctic Specially Managed Area), King George Island, Antarctica</t>
  </si>
  <si>
    <t>REVISTA BRASILEIRA DE ORNITOLOGIA</t>
  </si>
  <si>
    <t>seabirds; populational fluctuations; Antarctic Peninsula</t>
  </si>
  <si>
    <t>We surveyed the breeding bird community of Hennequin Point, King George Island, Antarctic Peninsula, in the 2004/2005 breeding season and here we provide a comparison of our data with Jablonski's data collected in the summer of 1978/79 (Jablonski 1986). We recorded eight species breeding in the study area, including: the Cape Petrel (Daption capense), the Wilson's Storm-petrel (Oceanites oceanicus), the Black-bellied Storm-petrel (Fregetta tropica), the South Polar Skua (Catharacta maccormicki), the Subantarctic Skua (C. lonnbergi), the Chilean Skua (C. chilensis), the Kelp Gull (Larus dominicanus) and the Antarctic Tern (Sterna vittata). Two species showed positive average annual growth: the South Polar Skua (10.33%) and the Kelp Gull (6.22%); three others showed negative average annual growth: the Wilson's Storm-petrel (-1.29%), the Subantarctic Skua (-6.00%) and the Antarctic Tern (-2.13%). The total species abundance did not differ significantly between the analyzed years (U = 28.500; p = 0.29), but we could observe qualitative alterations in the abundance per species and composition of bird community in Hennequin Point when we compared the data presented by Jablonski (1986) and the data from this study. These data can serve as a basis for studies with regular time intervals to understand the bird population fluctuations and the environmental variables associated to them.</t>
  </si>
  <si>
    <t>[Costa, Erli Schneider] Univ Fed Rio de Janeiro, Programa Posgrad Ecol, Ilha Fundao, BR-21941540 Rio De Janeiro, RJ, Brazil; [Alves, Maria Alice S.] Univ Estado Rio de Janeiro, Dept Ecol, Inst Biol Roberto Alcantara Gomes, Lab Ecol Aves, BR-20550011 Rio De Janeiro, RJ, Brazil</t>
  </si>
  <si>
    <t>Universidade Federal do Rio de Janeiro; Universidade do Estado do Rio de Janeiro</t>
  </si>
  <si>
    <t>Costa, ES (corresponding author), Univ Fed Rio de Janeiro, Programa Posgrad Ecol, Ilha Fundao, Caixa Postal 68-020, BR-21941540 Rio De Janeiro, RJ, Brazil.</t>
  </si>
  <si>
    <t>erli_costa@yahoo.com.br; masaal@globo.com</t>
  </si>
  <si>
    <t>COSTA, ERLI SCHNEIDER/AAP-2375-2020; Alves, Maria Alice S./B-3548-2013</t>
  </si>
  <si>
    <t>COSTA, ERLI SCHNEIDER/0000-0002-3739-1178; Alves, Maria Alice S./0000-0002-0622-270X</t>
  </si>
  <si>
    <t>National Counsel of Scientific and Technological Development (CNPq/UNISINOS) [550371/2002-8]; Laboratorio de Ornitologia e Animais Marinhos da Universidade do Vale do Rio dos Sinos (UNISINOS); Fundacao Amparo a Pesquisa do Estado do Rio de Janeiro [E-26/100.075/2007]; CNPq [3027185/03-6]</t>
  </si>
  <si>
    <t>National Counsel of Scientific and Technological Development (CNPq/UNISINOS); Laboratorio de Ornitologia e Animais Marinhos da Universidade do Vale do Rio dos Sinos (UNISINOS); Fundacao Amparo a Pesquisa do Estado do Rio de Janeiro; CNPq(Conselho Nacional de Desenvolvimento Cientifico e Tecnologico (CNPQ))</t>
  </si>
  <si>
    <t>We thank Davor Vircidibrak and Jason R. Tracker for the English review. The research was supported by the National Counsel of Scientific and Technological Development (CNPq/UNISINOS 550371/2002-8, coordinator M. Sander), the Secretary of the Inter-ministerial Commission for the Resources of the Sea (SeCIRM) and the Laboratorio de Ornitologia e Animais Marinhos da Universidade do Vale do Rio dos Sinos (UNISINOS). This paper uses the partial data of the Master Degree thesis of ESC at UFRJ (2008). The use of this data was authorized by M. Sander, coordinator of the project above mentioned. ESC received a scholarship from Fundacao Amparo a Pesquisa do Estado do Rio de Janeiro (process E-26/100.075/2007) and CNPq/2008; MASA received a CNPq grant (process no 3027185/03-6) while writing this paper.</t>
  </si>
  <si>
    <t>SOC BRASILEIRA ORNITOLOGIA</t>
  </si>
  <si>
    <t>VICOSA</t>
  </si>
  <si>
    <t>C/O ROMULO RIBON, MUSEU ZOOLOGIA JOAO MOOJEN, LADEIRA DOS OPERARIOS 54-204, VICOSA, MG 36570-000, BRAZIL</t>
  </si>
  <si>
    <t>0103-5657</t>
  </si>
  <si>
    <t>REV BRAS ORNITOL</t>
  </si>
  <si>
    <t>Rev. Bras. Ornitol.</t>
  </si>
  <si>
    <t>Ornithology</t>
  </si>
  <si>
    <t>V23PA</t>
  </si>
  <si>
    <t>WOS:000208353500004</t>
  </si>
  <si>
    <t>Donatti, L; Zaleski, T; Calil, P; Fanta, E</t>
  </si>
  <si>
    <t>Donatti, Lucelia; Zaleski, Tania; Calil, Patricia; Fanta, Edith</t>
  </si>
  <si>
    <t>Photoperiod and feeding behavior of the Antarctic fish Notothenia rossii (Perciformes: Nototheniidae) and functional morphology of chemical and visual sensory structures used in foraging</t>
  </si>
  <si>
    <t>REVISTA BRASILEIRA DE ZOOLOGIA</t>
  </si>
  <si>
    <t>chemoreception; microscopy; photoreception</t>
  </si>
  <si>
    <t>SOUTH SHETLAND ISLANDS; POTTER COVE; DIET</t>
  </si>
  <si>
    <t>The influence of photoperiod oil the ability of Notothenia rossii Richardson, 1844 to detect prey was studied experimentally. In 12L/12D there was the highest number of individuals stimulated visually and chemically while in 24D chemical perception was the same as that observed in 12L/12D, the latter being lower than in 24L. The ultrastructure of chemo- and photo-sensory structures, involved in the detection of food, was studied. The photoreceptor cells of the retina are single and double cones, and rods. Taste buds were concentrated in the central part of upper and lower lips. Their shape is even, but the size is variable. The olfactory rosette has a sensory and a non-sensory epithelium, being rich in different mucosubstances. The conclusion was that in different photoperiods there is a difference in the response to visual and chemical stimulation for prey detection and that all sensory systems are more stimulated in periods of more luminosity, mainly when there is an alternation between light and dark periods. Sensory organs are complex when compared to some other Antarctic fish such as Gobionotothen gibberifrons Lonnberg, 1905 and Ophthalmolycus amberensis Tomo, Marshoff &amp; Torno, 1977 but similar to those of N. coriiceps Rchardson, 1844.</t>
  </si>
  <si>
    <t>[Donatti, Lucelia; Fanta, Edith] Univ Fed Parana, Dept Biol Celular, BR-81531970 Curitiba, Parana, Brazil; [Zaleski, Tania] Univ Fed Parana, Dept Zool, Programa Posgrad Zool, BR-81531980 Curitiba, Parana, Brazil; [Calil, Patricia] Ctr Univ Campos Andrade, BR-81220090 Curitiba, Parana, Brazil</t>
  </si>
  <si>
    <t>Universidade Federal do Parana; Universidade Federal do Parana; Centro Universitario Campos de Andrade</t>
  </si>
  <si>
    <t>Donatti, L (corresponding author), Univ Fed Parana, Dept Biol Celular, Coixa Postal 19031, BR-81531970 Curitiba, Parana, Brazil.</t>
  </si>
  <si>
    <t>donatti@ufpr.br</t>
  </si>
  <si>
    <t>Donatti, Lucelia/E-1930-2013</t>
  </si>
  <si>
    <t>Donatti, Lucelia/0000-0002-9023-2483; ZALESKI, TANIA/0000-0001-7426-7312</t>
  </si>
  <si>
    <t>SOC BRASILEIRA ZOOLOGIA, UNIV FEDERAL PARANA</t>
  </si>
  <si>
    <t>CURITIBA</t>
  </si>
  <si>
    <t>CAIXA POSTAL 19020, CURITIBA, PARANA 81531-980, BRAZIL</t>
  </si>
  <si>
    <t>0101-8175</t>
  </si>
  <si>
    <t>REV BRAS ZOOL</t>
  </si>
  <si>
    <t>Rev. Bras. Zool.</t>
  </si>
  <si>
    <t>10.1590/S0101-81752008000200014</t>
  </si>
  <si>
    <t>323WQ</t>
  </si>
  <si>
    <t>gold, Green Submitted</t>
  </si>
  <si>
    <t>WOS:000257479500014</t>
  </si>
  <si>
    <t>Zhu, RB; Liu, YS; Xu, H; Ma, J; Sun, LG</t>
  </si>
  <si>
    <t>Zhu RenBin; Liu YaShu; Xu Hua; Ma Jing; Sun LiGuang</t>
  </si>
  <si>
    <t>Temporal and spatial variations of δ15N and δ18O for atmospheric N2O above the oceanic surface from Shanghai to Antarctica</t>
  </si>
  <si>
    <t>nitrous oxide; Antarctica; atmosphere; delta N-15; delta O-18; isotope; ocean</t>
  </si>
  <si>
    <t>NITROUS-OXIDE; TUNDRA WETLANDS; DISSOLVED N2O; PACIFIC; EMISSIONS; METHANE; N-15; SOIL; FRACTIONATION; CONSTRAINTS</t>
  </si>
  <si>
    <t>During the 22nd Chinese Antarctic Research Expedition (CHINARE-22), the atmospheric gas samples above the oceanic surface and near the surface were collected on the track for the scientific ship Xuelong and on Millor Peninsula of eastern Antarctica, respectively, using the Tedlar gas bags. Every day the sampling times were 10:00 and 22:00 (local time), respectively. In the laboratory, high-precision measurement of the isotopic compositions for N2O in these gas samples was conducted using Thermo Finnigan MAT-253 Isotopic Mass Spectrometer with a fully automated interface for the pre-GC concentration (PreCon) of trace gases. The temporal and spatial variations of delta(15)supercript stopN and delta O-18 in atmospheric N2O were analyzed. The mean delta N-15 and delta O-18-N2O values above the oceanic surface were (7.21 +/- 0.50)parts per thousand and (44.52 +/- 0.52)parts per thousand, respectively. From 30 degrees N to Antarctica, the delta N-15 (6.05 parts per thousand-7.88 parts per thousand) linearly increased with the rate of about 0.01 parts per thousand with the latitude while the delta O-18 (43.05 parts per thousand-Co48.78 parts per thousand) showed a large fluctuation. The delta N-15 negatively correlated with air temperature and N2O concentration, and slightly positively correlated with delta O-18. The summertime variations of delta N-15 and delta O-18-N2O appeared the same trend on Millor Peninsula of eastern Antarctica. They significantly positively correlated with each other and negatively with N2O concentration. The delta N-15 and delta O-18-N2O at different sites averaged (7.42 +/- 0.35)parts per thousand and (44.69 +/- 0.49)parts per thousand, respectively, slightly higher than those above the oceanic surface, significantly higher than those of atmospheric N2O in the low-latitude regions of Northern Hemisphere. The predominant factors affecting the spatial variations of delta N-15 and delta O-18 values were also discussed. The isotopic data given in this study can help to investigate the global and regional N2O budgets.</t>
  </si>
  <si>
    <t>[Zhu RenBin; Liu YaShu; Sun LiGuang] Univ Sci &amp; Technol China, Inst Polar Environm, Anhua 230026, Peoples R China; [Xu Hua; Ma Jing] Chinese Acad Sci, Inst Soil Sci, State Key Lab Soil &amp; Sustainable Agr, Nanjing 210091, Peoples R China</t>
  </si>
  <si>
    <t>Chinese Academy of Sciences; University of Science &amp; Technology of China, CAS; Chinese Academy of Sciences; Nanjing Institute of Soil Science, CAS</t>
  </si>
  <si>
    <t>Zhu, RB (corresponding author), Univ Sci &amp; Technol China, Inst Polar Environm, Anhua 230026, Peoples R China.</t>
  </si>
  <si>
    <t>zhurb@ustc.edu.cn</t>
  </si>
  <si>
    <t>10.1007/s11430-008-0061-0</t>
  </si>
  <si>
    <t>303HB</t>
  </si>
  <si>
    <t>WOS:000256030500013</t>
  </si>
  <si>
    <t>Izuhara, T</t>
  </si>
  <si>
    <t>Izuhara, Tsukie</t>
  </si>
  <si>
    <t>Development on Japanese antarctic research expedition uniform</t>
  </si>
  <si>
    <t>SEN-I GAKKAISHI</t>
  </si>
  <si>
    <t>Japanese</t>
  </si>
  <si>
    <t>izuhara.tsukie@osaka-shoin.ac.jp</t>
  </si>
  <si>
    <t>SOC FIBER SCIENCE TECHNOLOGY</t>
  </si>
  <si>
    <t>TOKYO</t>
  </si>
  <si>
    <t>KAMIOSAKI 3-3-9-208, SHINAGAWA-KU, TOKYO, 141-0025, JAPAN</t>
  </si>
  <si>
    <t>0037-9875</t>
  </si>
  <si>
    <t>Sen-I Gakkaishi</t>
  </si>
  <si>
    <t>P173</t>
  </si>
  <si>
    <t>P177</t>
  </si>
  <si>
    <t>Materials Science, Textiles; Polymer Science</t>
  </si>
  <si>
    <t>Materials Science; Polymer Science</t>
  </si>
  <si>
    <t>344QM</t>
  </si>
  <si>
    <t>WOS:000258942400004</t>
  </si>
  <si>
    <t>Altukhov, AV; Burkanov, VN; Kruchenkova, EP; Goltsman, ME; Dulchenko, NA; Mamaev, EG; Rivanenkova, ML</t>
  </si>
  <si>
    <t>Altukhov, A. V.; Burkanov, V. N.; Kruchenkova, E. P.; Goltsman, M. E.; Dulchenko, N. A.; Mamaev, E. G.; Rivanenkova, M. L.</t>
  </si>
  <si>
    <t>The attendance patterns of nursing Steller sea lion (Eumetopias jubatus) females on Mednyi Island (the Commander Islands) and Dolgaya Rock (the Kuril Islands)</t>
  </si>
  <si>
    <t>ZOOLOGICHESKY ZHURNAL</t>
  </si>
  <si>
    <t>Russian</t>
  </si>
  <si>
    <t>ANTARCTIC FUR SEALS; FORAGING ENERGETICS; PUP BEHAVIOR; ALASKA</t>
  </si>
  <si>
    <t>Attendance patterns of the Steller sea lion (Eumetopias jubatus) females on Mednyi Island (the Commander Islands) and Dolgaya Rock (the Kuril Islands) were similar. The attendance is dominated by 24-hour cycles. Females leave a rookery synchronously in the evening and return in the following morning. Foraging trips are restricted to night hours. The authors' data do not agree with the results obtained on rookeries in the Gulf of Alaska, where foraging trips of reproductive females are much longer, their duration is more variable, and the time of return to the rookery is less synchronized. The area of the shelf zone on the Kuril and Commander Islands is significantly smaller. Here, fish and cephalopods that compose the main diet of sea lions are concentrated to a greater degree than around continental islands and the coast of Alaska. The feeding patches of sea lions around the Kuril and Commander Islands are suggested to be more abundant and more predicted than at continental islands. The data obtained support the hypothesis that attendance patterns reflect the local state of the foraging base and can be used as an indicator of food abundance.</t>
  </si>
  <si>
    <t>[Altukhov, A. V.; Kruchenkova, E. P.; Goltsman, M. E.; Dulchenko, N. A.; Rivanenkova, M. L.] Moscow MV Lomonosov State Univ, Fac Biol, Moscow 119899, Russia; [Burkanov, V. N.] Russian Acad Sci, Far Eastern Div, Pacific Inst Geog, Kamchatka Branch, Petropavlovsk Kamchatski 683000, Russia; [Burkanov, V. N.] NOAA, Natl Marine Mammal Lab, NMFS, Seattle, WA 98115 USA; [Mamaev, E. G.] Vyatka State Agr Acad, Kirov 610017, Russia</t>
  </si>
  <si>
    <t>Lomonosov Moscow State University; Russian Academy of Sciences; Pacific Geographical Institute of the Far Eastern Branch of the Russian Academy of Sciences; National Oceanic Atmospheric Admin (NOAA) - USA; Vyatka State Agricultural Academy</t>
  </si>
  <si>
    <t>Altukhov, AV (corresponding author), Moscow MV Lomonosov State Univ, Fac Biol, Moscow 119899, Russia.</t>
  </si>
  <si>
    <t>; Burkanov, Vladimir/C-3116-2012</t>
  </si>
  <si>
    <t>Altukhov, Alexey/0000-0001-8532-0596; Burkanov, Vladimir/0000-0002-0129-7884</t>
  </si>
  <si>
    <t>MEZHDUNARODNAYA KNIGA</t>
  </si>
  <si>
    <t>MOSCOW</t>
  </si>
  <si>
    <t>39 DIMITROVA UL., 113095 MOSCOW, RUSSIA</t>
  </si>
  <si>
    <t>0044-5134</t>
  </si>
  <si>
    <t>ZOOL ZH</t>
  </si>
  <si>
    <t>Zool. Zhurnal</t>
  </si>
  <si>
    <t>339YS</t>
  </si>
  <si>
    <t>WOS:000258613800011</t>
  </si>
  <si>
    <t>Baena, AMRY; Boudjenoun, R; Fowler, SW; Miquel, JC; Masque, P; Sanchez-Cabeza, JA; Warnau, M</t>
  </si>
  <si>
    <t>Rodriguez y Baena, Alessia M.; Boudjenoun, Redouane; Fowler, Scott W.; Miquel, Juan Carlos; Masque, Pere; Sanchez-Cabeza, Joan-Albert; Warnau, Michel</t>
  </si>
  <si>
    <t>234Th-based carbon export during an ice-edge bloom:: Sea-ice algae as a likely bias in data interpretation</t>
  </si>
  <si>
    <t>234Th; radionuclides; carbon export; POC fluxes; ice algae; phytoplankton bloom; Antarctica; Weddell Sea</t>
  </si>
  <si>
    <t>WEDDELL SEA; EXOPOLYMER PARTICLES; WATER INTERFACE; FLUXES; SEQUESTRATION; COLONIZATION; ABUNDANCE</t>
  </si>
  <si>
    <t>Total Th-234 and U-238 vertical profiles in the water column were determined along a three-station transect perpendicular to the Eastern Weddell Sea ice shelf The transect was sampled during pre-bloom (6-7 December 2003) and bloom (19-20 December 2003) conditions to follow changes occurring in the particulate organic carbon (POC) flux during an Antarctic phytoplankton ice-edge bloom. During the pre-bloom period, Th-234:U-238 ratios &gt; 1 (up to 1.3) were measured just above the thermocline at all stations, and throughout the entire mixed layer at the ice-edge. These water column data appear to be the first which support the hypothesis that sea-ice algae could represent an input of Th-234-rich material in polar waters due to cellular uptake of the radionuclide and/or its adsorption onto the extracellular polymeric substances (EPS) produced by these organisms. A simple conceptual model is proposed to link observed Th-234:U-238 ratios to the input of Th-234-enriched sea-ice algae caused by ice-melting. The extensive, deep-water Th-234 deficit observed during the second transect likely results from the combination of vertical particle export and water-seafloor exchange Processes. POC steady-state (SS) fluxes out of the photic layer were negative or similar to nil (-11 to 2 mmol m(-2) d(-1)) under pre-bloom conditions, probably due to ice-algae input at the ice-edge and remineralization elsewhere, whereas POC non-steady-state (NSS) fluxes were generally higher (7 to 33 mmol m(-2) d(-1)) when the bloom was developing. We have estimated that these flux values could change by as much as 75% if a sea-ice algae Th-234 input term were included in the simple one-box model used. This suggests that failure to consider the sea-ice algae compartment, when using Th-234 as a proxy to assess carbon export in seasonally ice-covered regions, could at times lead to significant biases in the interpretation of Th-234-based particle flux estimates. (C) 2008 Elsevier B.V. All rights reserved.</t>
  </si>
  <si>
    <t>[Rodriguez y Baena, Alessia M.; Boudjenoun, Redouane; Fowler, Scott W.; Miquel, Juan Carlos; Sanchez-Cabeza, Joan-Albert; Warnau, Michel] Marine Environm Labs, Int Atom Energy Agcy, MC-98000 Monaco, Monaco; [Rodriguez y Baena, Alessia M.] Univ Genoa, Dipartimento Studio Territorio &amp; Sue Risorse, I-16132 Genoa, Italy; [Boudjenoun, Redouane] Commis Energie Atom, Ctr Rech Nucl Alger, Algiers, Algeria; [Masque, Pere] Univ Autonoma Barcelona, Dept Fis, Inst Ciencia &amp; Tecnol Ambientals, E-08193 Barcelona, Spain</t>
  </si>
  <si>
    <t>University of Genoa; Autonomous University of Barcelona</t>
  </si>
  <si>
    <t>Baena, AMRY (corresponding author), Int Commiss Sci Explorat Mediterranean Sea CIESM, 16 Blvd Suisse, MC-98000 Monaco, Monaco.</t>
  </si>
  <si>
    <t>aryb@yahoo.com; boudjenoun@yahoo.fr; S.Fowler@free.fr; j.c.miqqel@iaea.org; pere.masque@uab.es; j.a.sanchez-cabeza@iaea.org; warnaumichel@yahoo.com</t>
  </si>
  <si>
    <t>Masque, Pere/B-7379-2008; Masque, Pere/AAC-9349-2022; Fowler, Scott W./I-4663-2019; Sanchez-Cabeza, Joan-Albert/Q-2394-2016</t>
  </si>
  <si>
    <t>Masque, Pere/0000-0002-1789-320X; Masque, Pere/0000-0002-1789-320X; Sanchez-Cabeza, Joan-Albert/0000-0002-3540-1168</t>
  </si>
  <si>
    <t>1385-013X</t>
  </si>
  <si>
    <t>MAY 30</t>
  </si>
  <si>
    <t>10.1016/j.epsl.2008.03.020</t>
  </si>
  <si>
    <t>312YX</t>
  </si>
  <si>
    <t>WOS:000256709400029</t>
  </si>
  <si>
    <t>Raiswell, R; Benning, LG; Tranter, M; Tulaczyk, S</t>
  </si>
  <si>
    <t>Raiswell, Rob; Benning, Liane G.; Tranter, Martyn; Tulaczyk, Slawek</t>
  </si>
  <si>
    <t>Bioavailable iron in the Southern Ocean: the significance of the iceberg conveyor belt</t>
  </si>
  <si>
    <t>GEOCHEMICAL TRANSACTIONS</t>
  </si>
  <si>
    <t>BIOLOGICAL RESPONSE; COLLOIDAL IRON; FERRIHYDRITE; GOETHITE; SEDIMENT; LIMITATION; HEMATITE; WEDDELL; PHASE; CYCLE</t>
  </si>
  <si>
    <t>Productivity in the Southern Oceans is iron-limited, and the supply of iron dissolved from aeolian dust is believed to be the main source from outside the marine reservoir. Glacial sediment sources of iron have rarely been considered, as the iron has been assumed to be inert and non-bioavailable. This study demonstrates the presence of potentially bioavailable Fe as ferrihydrite and goethite in nanoparticulate clusters, in sediments collected from icebergs in the Southern Ocean and glaciers on the Antarctic landmass. Nanoparticles in ice can be transported by icebergs away from coastal regions in the Southern Ocean, enabling melting to release bioavailable Fe to the open ocean. The abundance of nanoparticulate iron has been measured by an ascorbate extraction. This data indicates that the fluxes of bioavailable iron supplied to the Southern Ocean from aeolian dust (0.01-0.13 Tg yr(-1)) and icebergs (0.06-0.12 Tg yr(-1)) are comparable. Increases in iceberg production thus have the capacity to increase productivity and this newly identified negative feedback may help to mitigate fossil fuel emissions.</t>
  </si>
  <si>
    <t>[Raiswell, Rob; Benning, Liane G.] Univ Leeds, Earth &amp; Biosphere Inst, Sch Earth &amp; Environm, Leeds LS2 9JT, W Yorkshire, England; [Tranter, Martyn] Univ Bristol, Sch Geog Sci, Bristol Glaciol Ctr, Bristol BS8 1SS, Avon, England; [Tulaczyk, Slawek] Univ Calif Santa Cruz, Dept Earth &amp; Planetary Sci, Santa Cruz, CA 95064 USA</t>
  </si>
  <si>
    <t>University of Leeds; University of Bristol; University of California System; University of California Santa Cruz</t>
  </si>
  <si>
    <t>Raiswell, R (corresponding author), Univ Leeds, Earth &amp; Biosphere Inst, Sch Earth &amp; Environm, Leeds LS2 9JT, W Yorkshire, England.</t>
  </si>
  <si>
    <t>r.raiswell@see.leeds.ac.uk; l.benning@see.leeds.ac.uk; m.tranter@bristol.ac.uk; tulaczyk@es.ucsc.edu</t>
  </si>
  <si>
    <t>Tranter, Martyn/E-3722-2010; Benning, Liane G./E-7071-2011; Tulaczyk, Slawek/O-7375-2018</t>
  </si>
  <si>
    <t>Tranter, Martyn/0000-0003-2071-3094; Benning, Liane G./0000-0001-9972-5578; Tulaczyk, Slawek/0000-0002-9711-4332</t>
  </si>
  <si>
    <t>BMC</t>
  </si>
  <si>
    <t>CAMPUS, 4 CRINAN ST, LONDON N1 9XW, ENGLAND</t>
  </si>
  <si>
    <t>1467-4866</t>
  </si>
  <si>
    <t>GEOCHEM T</t>
  </si>
  <si>
    <t>Geochem. Trans.</t>
  </si>
  <si>
    <t>10.1186/1467-4866-9-7</t>
  </si>
  <si>
    <t>325AY</t>
  </si>
  <si>
    <t>gold, Green Published</t>
  </si>
  <si>
    <t>WOS:000257561700001</t>
  </si>
  <si>
    <t>Lu, H; Baldwin, MP; Gray, LJ; Jarvis, MJ</t>
  </si>
  <si>
    <t>Lu, Hua; Baldwin, Mark P.; Gray, Lesley J.; Jarvis, Martin J.</t>
  </si>
  <si>
    <t>Decadal-scale changes in the effect of the QBO on the northern stratospheric polar vortex</t>
  </si>
  <si>
    <t>QUASI-BIENNIAL OSCILLATION; SEA-SURFACE TEMPERATURE; TWO-DIMENSIONAL MODEL; 11-YEAR SOLAR-CYCLE; SUDDEN WARMINGS; BERING-SEA; INTERANNUAL VARIABILITY; ERA-40 REANALYSIS; EQUATORIAL QBO; HEMISPHERE</t>
  </si>
  <si>
    <t>This study documents decadal-scale changes in the Holton and Tan (HT) relationship, i.e., the influence of the lower stratospheric equatorial quasi-biennial oscillation (QBO) on the northern hemisphere (NH) extratropical circulation. Using a combination of ECMWF ERA-40 Reanalysis and Operational data from 1958-2006, we find that the Arctic stratosphere is indeed warmer under easterly QBO and colder under westerly QBO. During November to January, composite easterly minus westerly QBO signals in zonal wind extend from the lower stratosphere to the upper stratosphere and are centered at similar to 5 hPa, 55-65 degrees N with a magnitude of similar to 10 m s(-1). In temperature, the maximum signal is near similar to 20-30 hPa at the pole with a magnitude of similar to 4 K. During winter, the dominant feature is a poleward and downward transfer of wind and temperature anomalies from the midlatitude upper stratosphere to the high latitude lower stratosphere. For the first time, a statistically significant decadal scale change of the HT relationship during 1977-1997 is diagnosed. The main feature of the change is that the extratropical QBO signals reverse sign in late winter, resulting in fewer and delayed major stratospheric sudden warmings (SSWs), which occurred more often under westerly QBO. Consistent with earlier studies, it is found that the HT relationship is significantly stronger under solar minima overall, but the solar cycle does not appear to be the primary cause for the detected decadal-scale change. Possible mechanisms related to changes in planetary wave forcing are discussed.</t>
  </si>
  <si>
    <t>[Lu, Hua; Jarvis, Martin J.] British Antarctic Survey, Cambridge CB3 0ET, England; [Baldwin, Mark P.] NW Res Associates Inc, Redmond, WA 98052 USA; [Gray, Lesley J.] Univ Reading, Dept Meteorol, NCAS Ctr Global Atmospher Modelling, Reading RG6 6BB, Berks, England</t>
  </si>
  <si>
    <t>UK Research &amp; Innovation (UKRI); Natural Environment Research Council (NERC); NERC British Antarctic Survey; NorthWest Research Associates; University of Reading; UK Research &amp; Innovation (UKRI); Natural Environment Research Council (NERC); NERC National Centre for Atmospheric Science</t>
  </si>
  <si>
    <t>Lu, H (corresponding author), British Antarctic Survey, High Cross,Madingley Rd, Cambridge CB3 0ET, England.</t>
  </si>
  <si>
    <t>hlu@bas.ac.uk; mark@nwra.com; l.j.gray@reading.ac.uk; mjja@pcmail.nerc-bas.ac.uk</t>
  </si>
  <si>
    <t>Gray, Lesley J/D-3610-2009; Baldwin, Mark P/J-6720-2012; Lu, Hua/GXA-0276-2022</t>
  </si>
  <si>
    <t>Lu, Hua/0000-0001-9485-5082; Gray, Lesley/0000-0002-7803-9277</t>
  </si>
  <si>
    <t>NERC [NE/D003652/1, bas010022] Funding Source: UKRI; Natural Environment Research Council [ncas10009, NE/D003652/1, NE/C510383/1, bas010022] Funding Source: researchfish</t>
  </si>
  <si>
    <t>D10</t>
  </si>
  <si>
    <t>D10114</t>
  </si>
  <si>
    <t>10.1029/2007JD009647</t>
  </si>
  <si>
    <t>307ZV</t>
  </si>
  <si>
    <t>WOS:000256359000004</t>
  </si>
  <si>
    <t>Becker, JJ; Sandwell, DT</t>
  </si>
  <si>
    <t>Becker, Joseph J.; Sandwell, David T.</t>
  </si>
  <si>
    <t>Global estimates of seafloor slope from single-beam ship soundings</t>
  </si>
  <si>
    <t>INTERNAL TIDE GENERATION; ABYSSAL HILL MORPHOLOGY; SATELLITE ALTIMETRY; DEEP-OCEAN; ROUGH TOPOGRAPHY; DISSIPATION; RIDGE; FLANKS; VARIABILITY; ENERGY</t>
  </si>
  <si>
    <t>Rough topography on the ocean floor is a source of ocean mixing which is of interest to both physical oceanography and climate science. Most mixing has been attributed to high slopes of the large-scale structures of the deep ocean floor such as seamounts, continental margins, and mid-ocean ridge axes. In this paper, we show the small-scale but ubiquitous abyssal hills and fracture zones dominate the global map of rough topography. Much of this rugged seafloor occurs in the Southern Ocean on the flanks of the Pacific-Antarctic Rise and Southwest Indian Ridge. We present our results as a global map of the mean slope of the ocean floor, and as a global map of the ocean floor above the M-2 critical slope. We compare our results to multibeam and satellite bathymetry data to show that satellite bathymetry is not a valid proxy for multibeam measurements, but edited single-beam sonar data are adequate to provide a global perspective on features with horizontal wavelengths as small as 2 km.</t>
  </si>
  <si>
    <t>[Becker, Joseph J.; Sandwell, David T.] Scripps Inst Oceanog, Inst Geophys &amp; Planetary Phys, La Jolla, CA 92037 USA</t>
  </si>
  <si>
    <t>Becker, JJ (corresponding author), Scripps Inst Oceanog, Inst Geophys &amp; Planetary Phys, 8795 Biol Grade,Room 1102, La Jolla, CA 92037 USA.</t>
  </si>
  <si>
    <t>jj@becker.com</t>
  </si>
  <si>
    <t>Sandwell, David/0000-0001-5657-8707</t>
  </si>
  <si>
    <t>C5</t>
  </si>
  <si>
    <t>C05028</t>
  </si>
  <si>
    <t>10.1029/2006JC003879</t>
  </si>
  <si>
    <t>308AC</t>
  </si>
  <si>
    <t>WOS:000256359700001</t>
  </si>
  <si>
    <t>Tilmes, S; Müller, R; Salawitch, R</t>
  </si>
  <si>
    <t>Tilmes, Simone; Mueller, Rolf; Salawitch, Ross</t>
  </si>
  <si>
    <t>The sensitivity of polar ozone depletion to proposed geoengineering schemes</t>
  </si>
  <si>
    <t>The large burden of sulfate aerosols injected into the stratosphere by the eruption of Mount Pinatubo in 1991 cooled Earth and enhanced the destruction of polar ozone in the subsequent few years. The continuous injection of sulfur into the stratosphere has been suggested as a geoengineering scheme to counteract global warming. We use an empirical relationship between ozone depletion and chlorine activation to estimate how this approach might influence polar ozone. An injection of sulfur large enough to compensate for surface warming caused by the doubling of atmospheric CO2 would strongly increase the extent of Arctic ozone depletion during the present century for cold winters and would cause a considerable delay, between 30 and 70 years, in the expected recovery of the Antarctic ozone hole.</t>
  </si>
  <si>
    <t>[Tilmes, Simone] Natl Ctr Atmospher Res, Boulder, CO 80307 USA; [Mueller, Rolf] KFA Julich, Forschungszentrum, D-52425 Julich, Germany; [Salawitch, Ross] Univ Maryland, College Pk, MD 20742 USA</t>
  </si>
  <si>
    <t>National Center Atmospheric Research (NCAR) - USA; Helmholtz Association; University System of Maryland; University of Maryland College Park</t>
  </si>
  <si>
    <t>Tilmes, S (corresponding author), Natl Ctr Atmospher Res, POB 3000, Boulder, CO 80307 USA.</t>
  </si>
  <si>
    <t>tilmes@ucar.edu</t>
  </si>
  <si>
    <t>Tilmes, Simone/JUV-6618-2023; Salawitch, Ross/B-4605-2009; Müller, Rolf/ABA-8213-2021</t>
  </si>
  <si>
    <t>Tilmes, Simone/0000-0002-6557-3569; Müller, Rolf/0000-0002-5024-9977</t>
  </si>
  <si>
    <t>10.1126/science.1153966</t>
  </si>
  <si>
    <t>306FF</t>
  </si>
  <si>
    <t>WOS:000256233000034</t>
  </si>
  <si>
    <t>Gahalaut, VK; Catherine, JK; Jade, S; Gireesh, R; Gupta, DC; Narsaiah, M; Ambikapathy, A; Bansal, A; Chadha, RK</t>
  </si>
  <si>
    <t>Gahalaut, V. K.; Catherine, J. K.; Jade, Sridevi; Gireesh, R.; Gupta, D. C.; Narsaiah, M.; Ambikapathy, A.; Bansal, A.; Chadha, R. K.</t>
  </si>
  <si>
    <t>No evidence of unusually large postseismic deformation in Andaman region immediately after 2004 Sumatra-Andaman earthquake</t>
  </si>
  <si>
    <t>GPS STATIC OFFSETS; NICOBAR ISLANDS; COSEISMIC SLIP; RUPTURE</t>
  </si>
  <si>
    <t>Static offsets due to the 26 December 2004 Sumatra-Andaman earthquake have been reported from the campaign mode GPS measurements in the Andaman-Nicobar region. However, these measurements contain contributions from postseismic deformation that must have occurred in the 16-25 days period between the earthquake and the measurements. We analyse these and tide gauge measurements of coseismic deformation, a longer time series of postseismic deformation from GPS measurements at Port Blair in the South Andaman and aftershocks, to suggest that postseismic displacement not larger than 7 cm occurred in the 16-25 days following the earthquake in the South Andaman and probably elsewhere in the Andaman Nicobar region. Earlier, this contribution was estimated to be as large as 1 m in the Andaman region, which implied that the magnitude of the earthquake based on these campaign mode measurements should be decreased. We suggest an Mw for this earthquake as 9.23.</t>
  </si>
  <si>
    <t>[Gahalaut, V. K.; Catherine, J. K.; Narsaiah, M.; Ambikapathy, A.; Bansal, A.; Chadha, R. K.] Natl Geophys Res Inst, Hyderabad 500007, Andhra Pradesh, India; [Gireesh, R.] Natl Ctr Antarctic &amp; Ocean Res, Goa 403804, India; [Gupta, D. C.] Indian Meteorol Dept, Port Blair, India; [Jade, Sridevi] Ctr Math Modelling &amp; Comp Simulat, Bangalore 560037, Karnataka, India</t>
  </si>
  <si>
    <t>Council of Scientific &amp; Industrial Research (CSIR) - India; CSIR - National Geophysical Research Institute (NGRI); Ministry of Earth Sciences (MoES) - India; National Centre for Polar and Ocean Research (NCPOR); Ministry of Earth Sciences (MoES) - India; India Meteorological Department (IMD); Council of Scientific &amp; Industrial Research (CSIR) - India; CSIR - Fourth Paradigm Institute (CSIR 4PI)</t>
  </si>
  <si>
    <t>Gahalaut, VK (corresponding author), Natl Geophys Res Inst, Cyber Bldg,Uppal Rd, Hyderabad 500007, Andhra Pradesh, India.</t>
  </si>
  <si>
    <t>vkgahalaut@yahoo.com</t>
  </si>
  <si>
    <t>Gahalaut, Vineet K/AGK-5873-2022; Vijayan, M Sithartha Muthu/A-2491-2011; R, Gireesh/AAK-7539-2021</t>
  </si>
  <si>
    <t>R, Gireesh/0000-0003-4962-5063; Gahalaut, Vineet/0000-0003-2514-4644</t>
  </si>
  <si>
    <t>MAY 28</t>
  </si>
  <si>
    <t>L10307</t>
  </si>
  <si>
    <t>10.1029/2008GL033704</t>
  </si>
  <si>
    <t>307ZH</t>
  </si>
  <si>
    <t>WOS:000256357600005</t>
  </si>
  <si>
    <t>Reyes, F; Fernández, R; Rodríguez, A; Francesch, A; Taboada, S; Avila, C; CuevaS, C</t>
  </si>
  <si>
    <t>Reyes, Fernando; Fernandez, Rogelio; Rodriguez, Alberto; Francesch, Andres; Taboada, Sergi; Avila, Conxita; Cuevas, Carmen</t>
  </si>
  <si>
    <t>Aplicyanins A-F, new cytotoxic bromoindole derivatives from the marine tunicate Aplidium cyaneum</t>
  </si>
  <si>
    <t>TETRAHEDRON</t>
  </si>
  <si>
    <t>marine metabolites; bromoindole; cytotoxicity; antimitotic; Antarctic tunicates</t>
  </si>
  <si>
    <t>ALKALOIDS; MERIDIANINS; LOBATAMIDES; MACROLIDES; ASCIDIANS</t>
  </si>
  <si>
    <t>Six new bromoindole derivatives, aplicyanins A-F (1-6), have been isolated from the CH2Cl2/MeOH extract of the tunicate Aplidium cyoneum collected in Antarctica. Their structures were determined by extensive analysis of their spectroscopic features, particularly 1D and 2D NMR spectra, and comparison with related compounds Cytotoxic and antimitotic activities were found for compounds 2 and 4 6. (c) 2008 Elsevier Ltd. All rights reserved.</t>
  </si>
  <si>
    <t>[Reyes, Fernando; Fernandez, Rogelio; Rodriguez, Alberto; Francesch, Andres; Cuevas, Carmen] PharmaMar SAU Pol Ind, R&amp;D Dept, Madrid 28770, Spain; [Taboada, Sergi; Avila, Conxita] Univ Barcelona, Fac Biol, Dept Anim Biol Invertebrates, E-08028 Barcelona, Spain</t>
  </si>
  <si>
    <t>PharmaMar; University of Barcelona</t>
  </si>
  <si>
    <t>Reyes, F (corresponding author), PharmaMar SAU Pol Ind, R&amp;D Dept, Avda Reyes 1, Madrid 28770, Spain.</t>
  </si>
  <si>
    <t>jfreyes@pharmamar.com</t>
  </si>
  <si>
    <t>Taboada, Sergi/AAB-9390-2021; Avila, Conxita/B-9466-2008; Reyes, Fernando/G-4027-2013</t>
  </si>
  <si>
    <t>Taboada, Sergi/0000-0003-1669-1152; Avila, Conxita/0000-0002-5489-8376; Reyes, Fernando/0000-0003-1607-5106; Francesch, Andres/0000-0002-5928-9983</t>
  </si>
  <si>
    <t>0040-4020</t>
  </si>
  <si>
    <t>Tetrahedron</t>
  </si>
  <si>
    <t>MAY 26</t>
  </si>
  <si>
    <t>10.1016/j.tet.2008.03.060</t>
  </si>
  <si>
    <t>Chemistry, Organic</t>
  </si>
  <si>
    <t>Science Citation Index Expanded (SCI-EXPANDED); Index Chemicus (IC)</t>
  </si>
  <si>
    <t>305LK</t>
  </si>
  <si>
    <t>WOS:000256179700029</t>
  </si>
  <si>
    <t>Moreira, MA; Dosso, L; Ondréas, H</t>
  </si>
  <si>
    <t>Moreira, Manuel A.; Dosso, Laure; Ondreas, Helene</t>
  </si>
  <si>
    <t>Helium isotopes on the Pacific-Antarctic ridge (52.5°-41.5°S)</t>
  </si>
  <si>
    <t>RARE-GAS SYSTEMATICS; HE-3/HE-4 RATIOS; MANTLE PLUMES; ELEMENTAL FRACTIONATION; OCEANIC ISLANDS; BASALT GLASSES; CONSTRAINTS; FLUXES</t>
  </si>
  <si>
    <t>The first isotopic data and concentrations of helium are reported for the Pacific-Antarctic ridge between 52.5 degrees S and 41.5 degrees S. The (4)He/(3)He ratio is extremely homogeneous over more than 1200 km, with a mean ratio of 99,275 (R/Ra = 7.29) and a standard deviation of 2719 (0.19), which is the lowest dispersion observed for the global mid oceanic ridge system. Moreover, the Menard T. F. is a frontier between two mantles with slightly different helium isotopic ratios (96,595 +/- 1520 and 100,347 +/- 2330). No difference in the helium concentration between the two ridge segments defined by the Menard T. F. can be observed, as well as no significant difference in the U and Th contents suggesting that the difference in helium isotopic ratio is old (&gt;500 My) and may represent a slight difference in degassing or/and trace element depletion history.</t>
  </si>
  <si>
    <t>[Moreira, Manuel A.] Univ Paris Diderot, Inst Phys Globe, Equipe Geochim &amp; Cosmochim, F-75005 Paris, France; [Dosso, Laure] IFREMER, CNRS, UMR6538, F-29280 Plouzane, France; CNRS, UMR7154, F-75005 Paris, France</t>
  </si>
  <si>
    <t>Universite Paris Cite; Centre National de la Recherche Scientifique (CNRS); CNRS - National Institute for Earth Sciences &amp; Astronomy (INSU); Ifremer; Universite de Bretagne Occidentale; Centre National de la Recherche Scientifique (CNRS); CNRS - National Institute for Earth Sciences &amp; Astronomy (INSU); Universite Paris Cite</t>
  </si>
  <si>
    <t>Moreira, MA (corresponding author), Univ Paris Diderot, Inst Phys Globe, Equipe Geochim &amp; Cosmochim, 4 Pl Jussieu, F-75005 Paris, France.</t>
  </si>
  <si>
    <t>moreira@ipgp.jussieu.fr</t>
  </si>
  <si>
    <t>moreira, manuel A/H-5329-2017; Dosso, Laure/A-9520-2009</t>
  </si>
  <si>
    <t>MAY 24</t>
  </si>
  <si>
    <t>L10306</t>
  </si>
  <si>
    <t>10.1029/2008GL033286</t>
  </si>
  <si>
    <t>304VT</t>
  </si>
  <si>
    <t>WOS:000256137900003</t>
  </si>
  <si>
    <t>Neumann, TA; Conway, H; Price, SF; Waddington, ED; Catania, GA; Morse, DL</t>
  </si>
  <si>
    <t>Neumann, T. A.; Conway, H.; Price, S. F.; Waddington, E. D.; Catania, G. A.; Morse, D. L.</t>
  </si>
  <si>
    <t>Holocene accumulation and ice sheet dynamics in central West Antarctica</t>
  </si>
  <si>
    <t>JOURNAL OF GEOPHYSICAL RESEARCH-EARTH SURFACE</t>
  </si>
  <si>
    <t>PINE ISLAND GLACIER; SIPLE-DOME; GREENLAND; DIVIDE; CORE; FLOW; TEMPERATURE; ISOCHRONES; MODEL</t>
  </si>
  <si>
    <t>We derive depth-age relationships across the ice divide between the Ross and Amundsen Seas by tracking radar-detected layers from the Byrd ice core and a dated 105-m core near the divide. The depth-age relationships and an ice-flow model are used to establish histories of accumulation and ice sheet dynamics over the past 8000 years. Results show that accumulation was approximately 30% higher than today from 5000 to 3000 years ago. Antarctic climate variability today is dominated by periodic fluctuations in strength of the circumpolar vortex, which raises the possibility that the vortex was systematically weaker during the period of high accumulation. Accumulation today decreases almost linearly across the divide. It is unlikely that this pattern has changed through the Holocene. The radar-detected stratigraphy shows no evidence of the arched layers that are expected beneath a stable divide that is frozen to its bed, implying that the divide has also been migrating and/or the basal ice has been sliding through the Holocene. We cannot rule out the possibility of sliding because the basal ice is near its pressure melting point. Other evidence indicates that divide migration is likely. The Ross Sea sector is now near steady state, but it had a strong negative imbalance 200 years ago when Kamb Ice Stream was active. In contrast, recent speedups of Pine Island and Thwaites Glaciers have likely caused the mass balance of the Amundsen Sea sector to become negative. The divide is likely migrating toward the Ross Sea today.</t>
  </si>
  <si>
    <t>[Neumann, T. A.] Univ Vermont, Dept Geol, Burlington, VT 05405 USA; [Conway, H.; Price, S. F.; Waddington, E. D.; Catania, G. A.] Univ Washington, Dept Earth &amp; Space Sci, Seattle, WA 98195 USA; [Price, S. F.] Los Alamos Natl Lab, Fluid Dynam Grp, Los Alamos, NM USA; [Morse, D. L.] Univ Texas Austin, Jackson Sch Geosci, Inst Geophys, Austin, TX 78758 USA</t>
  </si>
  <si>
    <t>University of Vermont; University of Washington; University of Washington Seattle; United States Department of Energy (DOE); Los Alamos National Laboratory; University of Texas System; University of Texas Austin</t>
  </si>
  <si>
    <t>Neumann, TA (corresponding author), Univ Vermont, Dept Geol, 180 Colchester Ave, Burlington, VT 05405 USA.</t>
  </si>
  <si>
    <t>thomas.neumann@uvm.edu</t>
  </si>
  <si>
    <t>Neumann, Thomas/D-5264-2012; Neumann, Thomas/JLL-4672-2023; Catania, Ginny/B-9787-2008; Price, Stephen/E-1568-2013</t>
  </si>
  <si>
    <t>Conway, Howard/0000-0003-4634-3474; Catania, Ginny/0000-0002-7561-5902; Price, Stephen/0000-0001-6878-2553</t>
  </si>
  <si>
    <t>2169-9003</t>
  </si>
  <si>
    <t>2169-9011</t>
  </si>
  <si>
    <t>J GEOPHYS RES-EARTH</t>
  </si>
  <si>
    <t>J. Geophys. Res.-Earth Surf.</t>
  </si>
  <si>
    <t>MAY 23</t>
  </si>
  <si>
    <t>F2</t>
  </si>
  <si>
    <t>F02018</t>
  </si>
  <si>
    <t>10.1029/2007JF000764</t>
  </si>
  <si>
    <t>304WL</t>
  </si>
  <si>
    <t>WOS:000256139700001</t>
  </si>
  <si>
    <t>Johnson, GC</t>
  </si>
  <si>
    <t>Johnson, Gregory C.</t>
  </si>
  <si>
    <t>Quantifying Antarctic Bottom Water and North Atlantic Deep Water volumes</t>
  </si>
  <si>
    <t>OPTIMUM MULTIPARAMETER ANALYSIS; LABRADOR SEA; OCEAN; CIRCULATION; TRANSPORTS; RATES</t>
  </si>
  <si>
    <t>A near-global census of Antarctic Bottom Water (AABW) and North Atlantic Deep Water (NADW) is essayed through a nonnegative least squares analysis of conservative and quasi-conservative seawater properties. AABW thickness generally decreases from south to north, modulated by ocean bathymetry. Likewise, NADW thickness generally decreases from north to south in the Atlantic Ocean. NADW dominates below the thermocline of the Atlantic Ocean at least as far south as the subtropical gyre of the South Atlantic, with a lesser, but still significant, influence around the entire Antarctic Circumpolar Current, in the Indian Ocean, and in the Pacific Ocean. However, in the Pacific and Indian oceans, AABW dominates below the thermocline. In addition, measurable quantities of AABW reach into the abyssal North Atlantic on both sides of the mid-Atlantic Ridge. The census results suggest that AABW occupies roughly twice the volume of NADW in the three main oceans, and that AABW is in contact with roughly twice the area of the deep main ocean floor compared with NADW. However, these results are somewhat sensitive to choices of water masses, their values of seawater properties, and the weightings of the seawater properties used in the analysis.</t>
  </si>
  <si>
    <t>NOAA, Pacific Marine Environm Lab, Seattle, WA 98115 USA</t>
  </si>
  <si>
    <t>National Oceanic Atmospheric Admin (NOAA) - USA</t>
  </si>
  <si>
    <t>Johnson, GC (corresponding author), NOAA, Pacific Marine Environm Lab, 7600 Sand Point Way Bldg 3, Seattle, WA 98115 USA.</t>
  </si>
  <si>
    <t>gregory.c.johnson@noaa.gov</t>
  </si>
  <si>
    <t>Johnson, Gregory C/I-6559-2012</t>
  </si>
  <si>
    <t>Johnson, Gregory C/0000-0002-8023-4020</t>
  </si>
  <si>
    <t>C05027</t>
  </si>
  <si>
    <t>10.1029/2007JC004477</t>
  </si>
  <si>
    <t>304WR</t>
  </si>
  <si>
    <t>WOS:000256140300005</t>
  </si>
  <si>
    <t>Smith, WO; Comiso, JC</t>
  </si>
  <si>
    <t>Smith, Walker O., Jr.; Comiso, Josefino C.</t>
  </si>
  <si>
    <t>Influence of sea ice on primary production in the Southern Ocean: A satellite perspective</t>
  </si>
  <si>
    <t>PHYTOPLANKTON ASSEMBLAGE COMPOSITION; LIGHT-SATURATED PHOTOSYNTHESIS; ROSS SEA; SURFACE CHLOROPHYLL; BELLINGSHAUSEN SEA; SPATIAL PATTERNS; PACIFIC SECTOR; ANNULAR MODE; SCOTIA SEA; EDGE ZONE</t>
  </si>
  <si>
    <t>Sea ice in the Southern Ocean is a major controlling factor on phytoplankton productivity, but the relationship is modified by regional differences in atmospheric and oceanographic conditions. We used the phytoplankton biomass, photosynthetically active radiation (PAR), and cloud cover data from Sea-viewing Wide Field of View Sensor (SeaWiFS), ice concentrations data from Special Sensor Microwave Imager (SSM/I) and Advanced Microwave Scanning Radiometer-EOS (AMSR-E), sea-surface temperature data from advanced very high resolution radiometer (AVHRR), and a vertically integrated model to estimate primary productivity south of 60 degrees S. We also selected six areas within the Southern Ocean and analyzed the variability of the primary productivity and trends through time. We found substantial interannual variability in productivity from 1997 to 2005 in all regions of the Southern Ocean, and this variability appeared to be driven in large part by ice dynamics. The most productive regions of Antarctic waters were the continental shelves, and no sustained blooms occurred in waters of greater depth (&gt; 1000 m). We suggest that this is due to the slightly greater mixed layer depths found in waters off the continental shelf, and that the interactive effects of iron and irradiance result in the limitation of phytoplankton biomass over large regions of the Southern Ocean. Annual productivity of the Southern Ocean averaged 23.65 g C m(-2) a(-1), but yearly means for the years between 1998 and 2004 ranged from 22.10 to 25.49 g C m(-2) d(-1), respectively. Annual primary productivity over the entire Southern Ocean appears to have increased significantly since 1998, and much of this increase was confined to the months of January and February. Causes for this trend are presently unclear.</t>
  </si>
  <si>
    <t>[Smith, Walker O., Jr.] Virginia Inst Marine Sci, Coll William &amp; Mary, Gloucester Point, VA 23062 USA; [Comiso, Josefino C.] NASA, Goddard Space Flight Ctr, Greenbelt, MD 20771 USA</t>
  </si>
  <si>
    <t>William &amp; Mary; Virginia Institute of Marine Science; National Aeronautics &amp; Space Administration (NASA); NASA Goddard Space Flight Center</t>
  </si>
  <si>
    <t>Smith, WO (corresponding author), Virginia Inst Marine Sci, Coll William &amp; Mary, Gloucester Point, VA 23062 USA.</t>
  </si>
  <si>
    <t>wos@vims.edu</t>
  </si>
  <si>
    <t>C05S93</t>
  </si>
  <si>
    <t>10.1029/2007JC004251</t>
  </si>
  <si>
    <t>Green Published, Green Submitted, Bronze</t>
  </si>
  <si>
    <t>WOS:000256140300003</t>
  </si>
  <si>
    <t>Worby, AP; Markus, T; Steer, AD; Lytle, VI; Massom, RA</t>
  </si>
  <si>
    <t>Worby, Anthony P.; Markus, Thorsten; Steer, Adam D.; Lytle, Victoria I.; Massom, Robert A.</t>
  </si>
  <si>
    <t>Evaluation of AMSR-E snow depth product over East Antarctic sea ice using in situ measurements and aerial photography</t>
  </si>
  <si>
    <t>MICROWAVE SIGNATURES; WEDDELL SEA; SEGMENTATION; VARIABILITY; WINTER; COVER</t>
  </si>
  <si>
    <t>The Antarctic Remote Ice Sensing Experiment (ARISE) was conducted in the East Antarctic sea ice zone during September-October 2003. A key objective of this program was the acquisition of in situ measurements suitable for evaluating the EOS Aqua Advanced Microwave Scanning Radiometer (AMSR-E) snow depth product. A strategy is presented for comparing snow thickness measurements over spatial scales ranging from point measurements to satellite pixels. In situ measurements of snow thickness were taken across eight Lagrangian grid cells defined and tracked using an array of drifting buoys. These data are coupled with ice-type analyses from digital aerial photographs to calculate area-averaged snow thicknesses that are compared with the AMSR-E derived snow thickness product. The results show considerable underestimates of the AMSR-E snow depths for rough sea ice by a factor of 2.3. We investigate the impact of underlying sea ice roughness on snow depth retrievals and conclude that in situ measurements of snow thickness underrepresent snow depth over rough ice, which is then not adequately accounted for in the development of the algorithm coefficients.</t>
  </si>
  <si>
    <t>[Worby, Anthony P.; Steer, Adam D.; Massom, Robert A.] Univ Tasmania, Australian Antarctic Div, Hobart, Tas 7001, Australia; [Worby, Anthony P.; Steer, Adam D.; Massom, Robert A.] Univ Tasmania, Cooperat Res Ctr Antartic Climate &amp; Ecosyst, Hobart, Tas 7001, Australia; [Markus, Thorsten] NASA, Goddard Space Flight Ctr, Greenbelt, MD 20771 USA; [Lytle, Victoria I.] Norwegian Polar Res Inst, CliC Int Project Off, N-9296 Tromso, Norway</t>
  </si>
  <si>
    <t>Australian Antarctic Division; University of Tasmania; University of Tasmania; National Aeronautics &amp; Space Administration (NASA); NASA Goddard Space Flight Center; Norwegian Polar Institute</t>
  </si>
  <si>
    <t>Worby, AP (corresponding author), Univ Tasmania, Australian Antarctic Div, Private Bag 80, Hobart, Tas 7001, Australia.</t>
  </si>
  <si>
    <t>a.worby@utas.edu.au</t>
  </si>
  <si>
    <t>Markus, Thorsten/D-5365-2012; Worby, Anthony P/A-2373-2012</t>
  </si>
  <si>
    <t>Massom, Robert/0000-0003-1533-5084; Steer, Adam/0000-0003-0046-7236</t>
  </si>
  <si>
    <t>C05S94</t>
  </si>
  <si>
    <t>10.1029/2007JC004181</t>
  </si>
  <si>
    <t>Green Accepted, Green Published, Bronze</t>
  </si>
  <si>
    <t>WOS:000256140300001</t>
  </si>
  <si>
    <t>Worby, AP; Geiger, CA; Paget, MJ; Van Woert, ML; Ackley, SF; DeLiberty, TL</t>
  </si>
  <si>
    <t>Worby, Anthony P.; Geiger, Cathleen A.; Paget, Matthew J.; Van Woert, Michael L.; Ackley, Stephen F.; DeLiberty, Tracy L.</t>
  </si>
  <si>
    <t>Thickness distribution of Antarctic sea ice</t>
  </si>
  <si>
    <t>WEDDELL-SEA; EAST ANTARCTICA; AMUNDSEN SEAS; SNOW COVER; HEAT-FLUX; ROSS SEA; ARCTIC-OCEAN; PACK ICE; BELLINGSHAUSEN; WINTER</t>
  </si>
  <si>
    <t>Ship-based observations are used to describe regional and seasonal changes in the thickness distribution and characteristics of sea ice and snow cover thickness around Antarctica. The data set comprises 23,373 observations collected over more than 2 decades of activity and has been compiled as part of the Scientific Committee on Antarctic Research (SCAR) Antarctic Sea Ice Processes and Climate (ASPeCt) program. The results show the seasonal progression of the ice thickness distribution for six regions around the continent together with statistics on the mean thickness, surface ridging, snow cover, and local variability for each region and season. A simple ridge model is used to calculate the total ice thickness from the observations of level ice and surface topography, to provide a best estimate of the total ice mass, including the ridged component. The long-term mean and standard deviation of total sea ice thickness (including ridges) is reported as 0.87 +/- 0.91 m, which is 40% greater than the mean level ice thickness of 0.62 m. Analysis of the structure function along north/south and east/west transects revealed lag distances over which sea ice thickness decorrelates to be of the order of 100-300 km, which we use as a basis for presenting near-continuous maps of sea ice and snow cover thickness plotted on a 2.5 degrees x 5.0 degrees grid.</t>
  </si>
  <si>
    <t>[Worby, Anthony P.] Australian Antarctic Div, Kingston, Tas 7050, Australia; [Worby, Anthony P.] Antarctic Climate &amp; Ecosyst Cooperat Res Ctr, Kingston, Tas 7050, Australia; [Geiger, Cathleen A.; DeLiberty, Tracy L.] Univ Delaware, Dept Geog, Newark, DE 19716 USA; [Paget, Matthew J.] CSIRO, Canberra, ACT 2601, Australia; [Van Woert, Michael L.] Natl Sci Fdn, Off Polar Programs, Arlington, VA 22230 USA; [Ackley, Stephen F.] Univ Texas San Antonio, Dept Earth Sci &amp; Environm Sci, San Antonio, TX 78249 USA</t>
  </si>
  <si>
    <t>Australian Antarctic Division; Antarctic Climate &amp; Ecosystems Cooperative Research Centre (ACE CRC); University of Delaware; Commonwealth Scientific &amp; Industrial Research Organisation (CSIRO); National Science Foundation (NSF); NSF - Directorate for Geosciences (GEO); NSF - Office of Polar Programs (OPP); University of Texas System; University of Texas at San Antonio (UTSA)</t>
  </si>
  <si>
    <t>Worby, AP (corresponding author), Australian Antarctic Div, 203 Channel Highway, Kingston, Tas 7050, Australia.</t>
  </si>
  <si>
    <t>Worby, Anthony P/A-2373-2012; Paget, Matt/E-7839-2017</t>
  </si>
  <si>
    <t>C05S92</t>
  </si>
  <si>
    <t>10.1029/2007JC004254</t>
  </si>
  <si>
    <t>WOS:000256140300004</t>
  </si>
  <si>
    <t>Dmitrenko, IA; Polyakov, IV; Kirillov, SA; Timokhov, LA; Frolov, IE; Sokolov, VT; Simmons, HL; Ivanov, VV; Walsh, D</t>
  </si>
  <si>
    <t>Dmitrenko, Igor A.; Polyakov, Igor V.; Kirillov, Sergey A.; Timokhov, Leonid A.; Frolov, Ivan E.; Sokolov, Vladimir T.; Simmons, Harper L.; Ivanov, Vladimir V.; Walsh, David</t>
  </si>
  <si>
    <t>Toward a warmer Arctic Ocean: Spreading of the early 21st century Atlantic Water warm anomaly along the Eurasian Basin margins</t>
  </si>
  <si>
    <t>VARIABILITY; MAKAROV; SLOPE</t>
  </si>
  <si>
    <t>We document through the analysis of 2002-2005 observational data the recent Atlantic Water (AW) warming along the Siberian continental margin due to several AW warm impulses that penetrated into the Arctic Ocean through Fram Strait in 1999-2000. The AW temperature record from our long-term monitoring site in the northern Laptev Sea shows several events of rapid AW temperature increase totaling 0.8 degrees C in February-August 2004. We hypothesize the along-margin spreading of this warmer anomaly has disrupted the downstream thermal equilibrium of the late 1990s to earlier 2000s. The anomaly mean velocity of 2.4-2.5 +/- 0.2 cm/s was obtained on the basis of travel time required between the northern Laptev Sea and two anomaly fronts delineated over the Eurasian flank of the Lomonosov Ridge by comparing the 2005 snapshot along-margin data with the AW pre-1990 mean. The magnitude of delineated anomalies exceeds the level of pre-1990 mean along-margin cooling and rises above the level of noise attributed to shifting of the AW jet across the basin margins. The anomaly mean velocity estimation is confirmed by comparing mooring-derived AW temperature time series from 2002 to 2005 with the downstream along-margin AW temperature distribution from 2005. Our mooring current meter data corroborate these estimations.</t>
  </si>
  <si>
    <t>[Dmitrenko, Igor A.; Polyakov, Igor V.; Simmons, Harper L.; Ivanov, Vladimir V.] Univ Alaska Fairbanks, Int Arctic Res Ctr, Fairbanks, AK 99775 USA; [Kirillov, Sergey A.; Timokhov, Leonid A.; Frolov, Ivan E.; Sokolov, Vladimir T.] Arctic &amp; Antarctic Res Inst, St Petersburg 199397, Russia; [Walsh, David] Pacific Tsunami Warning Ctr, Ewa Beach, HI 96706 USA</t>
  </si>
  <si>
    <t>University of Alaska System; University of Alaska Fairbanks; Arctic &amp; Antarctic Research Institute; National Oceanic Atmospheric Admin (NOAA) - USA</t>
  </si>
  <si>
    <t>Dmitrenko, IA (corresponding author), Univ Kiel, IFM GEOMAR, Leibniz Inst Marine Sci, Wischhofstr 1-3,Build 4, D-24148 Kiel, Germany.</t>
  </si>
  <si>
    <t>idmitrenko@ifm-geomar.de; igor@iarc.uaf; dia@aari.nw.ru; ltim@aari.nw.ru; frolov@aari.nw.ru; svt@aari.nw.ru; hsimmons@iarc.uaf.edu; vivanov@iarc.uaf.edu; david.walsh@noaa.gov</t>
  </si>
  <si>
    <t>Ivanov, Vladimir/AAX-6830-2020; Ivanov, Vladimir/J-5979-2014</t>
  </si>
  <si>
    <t>Ivanov, Vladimir/0000-0003-2569-6027; Walsh, John/0000-0001-9541-5927; Dmitrenko, Igor/0000-0001-8388-7839</t>
  </si>
  <si>
    <t>MAY 17</t>
  </si>
  <si>
    <t>C05023</t>
  </si>
  <si>
    <t>10.1029/2007JC004158</t>
  </si>
  <si>
    <t>303SY</t>
  </si>
  <si>
    <t>WOS:000256062400001</t>
  </si>
  <si>
    <t>Toggweiler, JR</t>
  </si>
  <si>
    <t>Toggweiler, J. R.</t>
  </si>
  <si>
    <t>Origin of the 100,000-year timescale in Antarctic temperatures and atmospheric CO2</t>
  </si>
  <si>
    <t>VOSTOK ICE CORE; CARBON-CYCLE; CACO3 COMPENSATION; CLIMATE; RECORD; MECHANISM; ISOTOPE; SCALE; OCEAN; TIME</t>
  </si>
  <si>
    <t>A new mechanism is proposed to explain the 100,000-year timescale for variations in Antarctic temperatures and atmospheric CO2 over the last 650,000 years. It starts with fluctuations in the oceanic overturning around Antarctica that release CO2 up to the atmosphere or trap it in the deep ocean. Every 50,000 years one of these fluctuations coincides with a changeover in the burial of CaCO3 in the deep ocean. The changeover alters the atmospheric pCO(2) in a way that augments the tendency of the overturning. The augmented overturning then enhances the tendency of the CaCO3 burial, which augments the overturning, etc. In this way, an individual random fluctuation becomes one of the big transitions seen in the Antarctic ice cores. Alternating transitions toward the warm and cold states every 50,000 years produce the 100,000-year timescale. The 50,000-year time interval is set by the turnover time for CO3= ions in the ocean with respect to the CO2- induced weathering of silicate rocks and the burial of CaCO3 on the seafloor.</t>
  </si>
  <si>
    <t>NOAA, Geophys Fluid Dynam Lab, Princeton, NJ 08542 USA</t>
  </si>
  <si>
    <t>Toggweiler, JR (corresponding author), NOAA, Geophys Fluid Dynam Lab, POB 308, Princeton, NJ 08542 USA.</t>
  </si>
  <si>
    <t>robbie.toggweiler@noaa.gov</t>
  </si>
  <si>
    <t>Toggweiler, J. R./O-5883-2019</t>
  </si>
  <si>
    <t>Toggweiler, J. R./0000-0001-6345-5756</t>
  </si>
  <si>
    <t>PA2211</t>
  </si>
  <si>
    <t>10.1029/2006PA001405</t>
  </si>
  <si>
    <t>303TM</t>
  </si>
  <si>
    <t>WOS:000256063800001</t>
  </si>
  <si>
    <t>Thoma, M; Mayer, C; Grosfeld, K</t>
  </si>
  <si>
    <t>Thoma, Malte; Mayer, Christoph; Grosfeld, Klaus</t>
  </si>
  <si>
    <t>Sensitivity of subglacial Lake Vostok's flow regime on environmental parameters</t>
  </si>
  <si>
    <t>numerical ocean modeling; ice-ocean interaction; subglacial environment; Lake Vostok; sensitivity study; Antarctica</t>
  </si>
  <si>
    <t>ANTARCTIC ICE-SHEET; WATER; CIRCULATION; SHELF; OCEAN; LIFE</t>
  </si>
  <si>
    <t>Subglacial lakes provide unique habitats, but the exact nature of physical and geochemical conditions are still a matter of debate and await direct sampling of water. Due to its isolation from external atmospheric forcing other environmental parameters influence the flow characteristics within the lake. In this study we use an improved treatment of the physical processes at the ice-water boundary interface to identify and quantify the impact of(l) the geothermal heat flux, (2) the heat flux from the lake into the ice (3) the influence of the salinity of the take, water, and (4) the ice thickness on the size of the freezing area and the freeze/melt rates. We show that the modelled basal mass imbalance (that is the produced melt water minus the re-frozen water) depends on the geothermal heating as well as the heat flux into the ice. The circulation and the temperature distribution within subglacial Lake Vostok are rather stable against variations of geothermal heat flux, heat flux into the ice sheet, salinity of the lake, and small changes of the ice thickness above the lake. However, the flow regime for any subglacial lake with less than 2000 m ice thickness above, will be substantially different from those that experience higher pressures. This is because the buoyancy-temperature relationship reverses at this depth. (C) 2008 Elsevier B.V. All rights reserved.</t>
  </si>
  <si>
    <t>[Thoma, Malte] Alfred Wegener Inst Polar &amp; Marine Res, D-27570 Bremerhaven, Germany; [Thoma, Malte; Mayer, Christoph; Grosfeld, Klaus] Bayer Akad Wissensch, Kommiss Glaziol, D-80539 Munich, Germany</t>
  </si>
  <si>
    <t>Helmholtz Association; Alfred Wegener Institute, Helmholtz Centre for Polar &amp; Marine Research</t>
  </si>
  <si>
    <t>Thoma, M (corresponding author), Alfred Wegener Inst Polar &amp; Marine Res, Bussestr 24, D-27570 Bremerhaven, Germany.</t>
  </si>
  <si>
    <t>Malte.Thoma@awi.de</t>
  </si>
  <si>
    <t>Thoma, Malte/0000-0002-4033-3905; Grosfeld, Klaus/0000-0001-5936-179X</t>
  </si>
  <si>
    <t>MAY 15</t>
  </si>
  <si>
    <t>1-2</t>
  </si>
  <si>
    <t>10.1016/j.epsl.2008.02.023</t>
  </si>
  <si>
    <t>312XI</t>
  </si>
  <si>
    <t>WOS:000256705300021</t>
  </si>
  <si>
    <t>Choi, ES; Gurnis, M</t>
  </si>
  <si>
    <t>Choi, Eun-seo; Gurnis, Michael</t>
  </si>
  <si>
    <t>Thermally induced brittle deformation in oceanic lithosphere and the spacing of fracture zones</t>
  </si>
  <si>
    <t>oceanic lithosphere; fracture zone; thermal stress; brittle deformation</t>
  </si>
  <si>
    <t>SPREADING RATE DEPENDENCE; CRUSTAL THICKNESS; TRANSFORM FAULTS; MIDOCEAN RIDGES; SHEAR BANDS; SEGMENTATION; RHEOLOGY; WATER; CONTRACTION; EVOLUTION</t>
  </si>
  <si>
    <t>Brittle deformation of oceanic lithosphere due to thermal stress is explored with a numerical model, with an emphasis on the spacing of fracture zones. Brittle deformation is represented by localized plastic strain within a material having an elasto-visco-plastic rheology with strain softening. We show that crustal thickness, creep strength, and the rule governing plastic flow control the formation of cracks. The spacing of primary crack decreases with crustal thickness as long as it is smaller than a threshold value. Creep strength shifts the threshold such that crust with strong creep strength develops primary cracks regardless of crustal thicknesses, while only a thin crust can have primary cracks if its creep strength is low. For a thin crust, the spacing of primary cracks is inversely proportional to the creep strength, suggesting that creep strength might independently contribute to the degree of brittle deformation. Through finite versus zero dilatation in plastic strain, associated and non-associated flow rule results in nearly vertical and V-shaped cracks, respectively. Changes in the tectonic environment of a ridge system can be reflected in variation in crustal thickness, and thus related to brittle deformation. The fracture zone-free Reykjanes ridge is known to have a uniformly thick crust. The Australian-Antarctic Discordance has multiple fracture zones and thin crust. These syntheses are consistent with enhanced brittle deformation of oceanic lithosphere when the crust is thin and vice versa. (C) 2008 Elsevier B.V. All rights reserved.</t>
  </si>
  <si>
    <t>[Choi, Eun-seo; Gurnis, Michael] CALTECH, Seismol Lab, Pasadena, CA 91125 USA</t>
  </si>
  <si>
    <t>California Institute of Technology</t>
  </si>
  <si>
    <t>Choi, ES (corresponding author), CALTECH, Seismol Lab, Pasadena, CA 91125 USA.</t>
  </si>
  <si>
    <t>ces74@gps.caltech.edu</t>
  </si>
  <si>
    <t>10.1016/j.epsl.2008.02.025</t>
  </si>
  <si>
    <t>WOS:000256705300023</t>
  </si>
  <si>
    <t>Monaghan, AJ; Bromwich, DH; Schneider, DP</t>
  </si>
  <si>
    <t>Monaghan, Andrew J.; Bromwich, David H.; Schneider, David P.</t>
  </si>
  <si>
    <t>Twentieth century Antarctic air temperature and snowfall simulations by IPCC climate models (vol 35, art no L07502, 2008)</t>
  </si>
  <si>
    <t>Correction</t>
  </si>
  <si>
    <t>Bromwich, David H/C-9225-2016</t>
  </si>
  <si>
    <t>Monaghan, Andrew/0000-0002-8170-2359</t>
  </si>
  <si>
    <t>L09501</t>
  </si>
  <si>
    <t>10.1029/2008GL034295</t>
  </si>
  <si>
    <t>303SD</t>
  </si>
  <si>
    <t>WOS:000256060300007</t>
  </si>
  <si>
    <t>Lüthi, D; Le Floch, M; Bereiter, B; Blunier, T; Barnola, JM; Siegenthaler, U; Raynaud, D; Jouzel, J; Fischer, H; Kawamura, K; Stocker, TF</t>
  </si>
  <si>
    <t>Luethi, Dieter; Le Floch, Martine; Bereiter, Bernhard; Blunier, Thomas; Barnola, Jean-Marc; Siegenthaler, Urs; Raynaud, Dominique; Jouzel, Jean; Fischer, Hubertus; Kawamura, Kenji; Stocker, Thomas F.</t>
  </si>
  <si>
    <t>High-resolution carbon dioxide concentration record 650,000-800,000 years before present</t>
  </si>
  <si>
    <t>PAST 800,000 YEARS; 8 GLACIAL CYCLES; C ICE CORE; ATMOSPHERIC CO2; CLIMATE VARIABILITY; BIPOLAR SEESAW; ANTARCTICA; MODEL; CIRCULATION; GREENLAND</t>
  </si>
  <si>
    <t>Changes in past atmospheric carbon dioxide concentrations can be determined by measuring the composition of air trapped in ice cores from Antarctica. So far, the Antarctic Vostok and EPICA Dome C ice cores have provided a composite record of atmospheric carbon dioxide levels over the past 650,000 years(1-4). Here we present results of the lowest 200m of the Dome C ice core, extending the record of atmospheric carbon dioxide concentration by two complete glacial cycles to 800,000 yr before present. From previously published data(1-8) and the present work, we find that atmospheric carbon dioxide is strongly correlated with Antarctic temperature throughout eight glacial cycles but with significantly lower concentrations between 650,000 and 750,000 yr before present. Carbon dioxide levels are below 180 parts per million by volume ( p. p. m. v.) for a period of 3,000 yr during Marine Isotope Stage 16, possibly reflecting more pronounced oceanic carbon storage. We report the lowest carbon dioxide concentration measured in an ice core, which extends the pre-industrial range of carbon dioxide concentrations during the late Quaternary by about 10 p. p. m. v. to 172-300 p. p. m. v.</t>
  </si>
  <si>
    <t>[Luethi, Dieter; Bereiter, Bernhard; Blunier, Thomas; Siegenthaler, Urs; Kawamura, Kenji; Stocker, Thomas F.] Univ Bern, Inst Phys, CH-3012 Bern, Switzerland; [Luethi, Dieter; Bereiter, Bernhard; Blunier, Thomas; Siegenthaler, Urs; Kawamura, Kenji; Stocker, Thomas F.] Univ Bern, Oeschger Ctr Climate Change Res, CH-3012 Bern, Switzerland; [Le Floch, Martine; Barnola, Jean-Marc; Raynaud, Dominique] Univ Grenoble 1, CNRS, Lab Glaciol &amp; Geophys Environm, F-38402 St Martin Dheres, France; [Jouzel, Jean] Univ Versailles St Quentin, Inst Pierre Simon Laplace, Lab Sci Climat &amp; Environm, CEA CNRS,CE Saclay, F-91191 Gif Sur Yvette, France; [Fischer, Hubertus] Alfred Wegener Inst Polar &amp; Marine Res, D-27568 Bremerhaven, Germany</t>
  </si>
  <si>
    <t>University of Bern; University of Bern; Centre National de la Recherche Scientifique (CNRS); Communaute Universite Grenoble Alpes; Universite Grenoble Alpes (UGA); CEA; Centre National de la Recherche Scientifique (CNRS); Universite Paris Saclay; Helmholtz Association; Alfred Wegener Institute, Helmholtz Centre for Polar &amp; Marine Research</t>
  </si>
  <si>
    <t>Lüthi, D (corresponding author), Univ Bern, Inst Phys, Sidlerstr 5, CH-3012 Bern, Switzerland.</t>
  </si>
  <si>
    <t>luethi@climate.unibe.ch</t>
  </si>
  <si>
    <t>raynaud, dominique/ABG-4718-2020; Raynaud, Dominique/H-9626-2016; Stocker, Thomas F/B-1273-2013; Blunier, Thomas/M-4609-2014; Fischer, Hubertus/A-1211-2014; Kawamura, Kenji/C-7660-2011</t>
  </si>
  <si>
    <t>Blunier, Thomas/0000-0002-6065-7747; Fischer, Hubertus/0000-0002-2787-4221; Kawamura, Kenji/0000-0003-1163-700X</t>
  </si>
  <si>
    <t>10.1038/nature06949</t>
  </si>
  <si>
    <t>301AI</t>
  </si>
  <si>
    <t>WOS:000255868400049</t>
  </si>
  <si>
    <t>Loulergue, L; Schilt, A; Spahni, R; Masson-Delmotte, V; Blunier, T; Lemieux, B; Barnola, JM; Raynaud, D; Stocker, TF; Chappellaz, J</t>
  </si>
  <si>
    <t>Loulergue, Laetitia; Schilt, Adrian; Spahni, Renato; Masson-Delmotte, Valerie; Blunier, Thomas; Lemieux, Benedicte; Barnola, Jean-Marc; Raynaud, Dominique; Stocker, Thomas F.; Chappellaz, Jerome</t>
  </si>
  <si>
    <t>Orbital and millennial-scale features of atmospheric CH4 over the past 800,000 years</t>
  </si>
  <si>
    <t>CLIMATE VARIABILITY; TERRESTRIAL PLANTS; METHANE EMISSIONS; ICE CORES; SENSITIVITY; GREENLAND</t>
  </si>
  <si>
    <t>Atmospheric methane is an important greenhouse gas and a sensitive indicator of climate change and millennial-scale temperature variability(1). Its concentrations over the past 650,000 years have varied between similar to 350 and similar to 800 parts per 10 9 by volume ( p. p. b. v.) during glacial and interglacial periods, respectively(2). In comparison, present-day methane levels of,1,770 p. p. b. v. have been reported(3). Insights into the external forcing factors and internal feedbacks controlling atmospheric methane are essential for predicting the methane budget in a warmer world(3). Here we present a detailed atmospheric methane record from the EPICA Dome C ice core that extends the history of this greenhouse gas to 800,000 yr before present. The average time resolution of the new data is similar to 380 yr and permits the identification of orbital and millennial-scale features. Spectral analyses indicate that the long-term variability in atmospheric methane levels is dominated by,100,000 yr glacial - interglacial cycles up to,400,000 yr ago with an increasing contribution of the precessional component during the four more recent climatic cycles. We suggest that changes in the strength of tropical methane sources and sinks ( wetlands, atmospheric oxidation), possibly influenced by changes in monsoon systems and the position of the intertropical convergence zone, controlled the atmospheric methane budget, with an additional source input during major terminations as the retreat of the northern ice sheet allowed higher methane emissions from extending periglacial wetlands. Millennial-scale changes in methane levels identified in our record as being associated with Antarctic isotope maxima events(1,4) are indicative of ubiquitous millennial-scale temperature variability during the past eight glacial cycles.</t>
  </si>
  <si>
    <t>[Loulergue, Laetitia; Lemieux, Benedicte; Barnola, Jean-Marc; Raynaud, Dominique; Chappellaz, Jerome] Univ Grenoble 1, CNRS, Lab Glaciol &amp; Geophys Environm, F-38402 St Martin Dheres, France; [Schilt, Adrian; Spahni, Renato; Blunier, Thomas; Stocker, Thomas F.] Univ Bern, Inst Phys, CH-3012 Bern, Switzerland; [Masson-Delmotte, Valerie] Univ Versailles St Quentin, Lab Sci Climat &amp; Environm, Inst Pierre Simon Laplace, CE Saclay,CEA CNRS, F-91191 Gif Sur Yvette, France</t>
  </si>
  <si>
    <t>Centre National de la Recherche Scientifique (CNRS); Communaute Universite Grenoble Alpes; Universite Grenoble Alpes (UGA); University of Bern; CEA; Centre National de la Recherche Scientifique (CNRS); Universite Paris Saclay; Universite Paris Cite</t>
  </si>
  <si>
    <t>Chappellaz, J (corresponding author), Univ Grenoble 1, CNRS, Lab Glaciol &amp; Geophys Environm, 54 Rue Moliere, F-38402 St Martin Dheres, France.</t>
  </si>
  <si>
    <t>jerome@lgge.obs.ujf-grenoble.fr</t>
  </si>
  <si>
    <t>Masson-Delmotte, Valerie L/G-1995-2011; Raynaud, Dominique/H-9626-2016; Chappellaz, Jérôme A./A-4872-2011; raynaud, dominique/ABG-4718-2020; Stocker, Thomas F/B-1273-2013; Blunier, Thomas/M-4609-2014</t>
  </si>
  <si>
    <t>Masson-Delmotte, Valerie L/0000-0001-8296-381X; Lemieux-Dudon, Benedicte/0000-0002-0718-2420; Blunier, Thomas/0000-0002-6065-7747; Schilt, Adrian/0000-0001-6312-7947</t>
  </si>
  <si>
    <t>10.1038/nature06950</t>
  </si>
  <si>
    <t>WOS:000255868400050</t>
  </si>
  <si>
    <t>Cisewski, B; Strass, VH; Losch, M; Prandke, H</t>
  </si>
  <si>
    <t>Cisewski, Boris; Strass, Volker H.; Losch, Martin; Prandke, Hartmut</t>
  </si>
  <si>
    <t>Mixed layer analysis of a mesoscale eddy in the Antarctic Polar Front Zone</t>
  </si>
  <si>
    <t>UPPER-OCEAN; CIRCUMPOLAR CURRENT; FLUX MEASUREMENTS; BOUNDARY-LAYER; PACIFIC-OCEAN; PARAMETERIZATION; TURBULENCE; DIFFUSION; DEPTHS; MODEL</t>
  </si>
  <si>
    <t>Microstructure, acoustic Doppler current profiler, and conductivity-temperature-depth (CTD) profiles were taken in a mesoscale eddy in the Antarctic Polar Front Zone at about 2 degrees 15'E, 49 degrees 15'S during the R/V Polarstern cruise ANT XXI/3 within the scope of the European Iron Fertilization Experiment in January-March 2004. The mixed layer depth (MLD), calculated from the composite of CTD- and microstructure sonde (MSS)-derived data, was 97.6 +/- 20.6 m. No significant correlation between the wind work (E-10) and the MLD (r = 0.02 to 0.22) was found. However, the analysis revealed a negative correlation between the surface buoyancy flux (B) and the MLD 1/2 d later. Two approaches were used to estimate the actively mixing layer depth (AMLD). First, the actively mixing layer was determined subjectively by analyzing the MSS-derived density, energy dissipation, and Thorpe scale profiles, and second, the mixed layer model embedded in a general circulation model was used. The overall mean of the determined depths of the actively mixing layer (AMLDMSS = 66.4 +/- 28.8 m) agreed with the model-predicted boundary layer depths (BLD) (BLDKPP = 69.1 +/- 29.5 m), but the individual values sometimes were differing considerably. We deduced estimates of the vertical diffusivity (Kz) from the MSS-derived energy dissipation rates and Thorpe scales. Both methods showed that Kz decreased with depth from order of magnitude 10(-1) m(2) s(-1) in the actively mixed layer to order of 10(-4) m(2) s(-1) in the pycnocline.</t>
  </si>
  <si>
    <t>[Strass, Volker H.; Losch, Martin] Alfred Wegener Inst Polar &amp; Meeres Forsch, D-27515 Bremerhaven, Germany; [Prandke, Hartmut] ISW Wassermess Tech, D-17213 Petersdorf, Germany</t>
  </si>
  <si>
    <t>Cisewski, B (corresponding author), Univ Bremen, Abt Ozeanog, Inst Umweltphys, POB 330440, D-28334 Bremen, Germany.</t>
  </si>
  <si>
    <t>boris.cisewski@awi.de</t>
  </si>
  <si>
    <t>Cisewski, Boris/GWV-4320-2022; Losch, Martin/S-5896-2016</t>
  </si>
  <si>
    <t>Cisewski, Boris/0000-0002-1130-6107; Losch, Martin/0000-0002-3824-5244; Strass, Volker/0000-0002-7539-1400</t>
  </si>
  <si>
    <t>MAY 13</t>
  </si>
  <si>
    <t>C05017</t>
  </si>
  <si>
    <t>10.1029/2007JC004372</t>
  </si>
  <si>
    <t>303SV</t>
  </si>
  <si>
    <t>WOS:000256062100002</t>
  </si>
  <si>
    <t>[Anonymous]</t>
  </si>
  <si>
    <t>Glaciers are a source of residual DDT</t>
  </si>
  <si>
    <t>CHEMICAL &amp; ENGINEERING NEWS</t>
  </si>
  <si>
    <t>DDT is a banned pesticide, which is now seen in glacier meltwater. By using gas chromatography and mass spectrometry, the levels of DDT was found in arctic birds. The presence of DDT causes a threat to the marine ecosystem in Antarctic region.</t>
  </si>
  <si>
    <t>0009-2347</t>
  </si>
  <si>
    <t>CHEM ENG NEWS</t>
  </si>
  <si>
    <t>Chem. Eng. News</t>
  </si>
  <si>
    <t>MAY 12</t>
  </si>
  <si>
    <t>Chemistry, Multidisciplinary; Engineering, Chemical</t>
  </si>
  <si>
    <t>Chemistry; Engineering</t>
  </si>
  <si>
    <t>300SB</t>
  </si>
  <si>
    <t>WOS:000255844400043</t>
  </si>
  <si>
    <t>Zhu, RB; Liu, YH; Xu, H; Ma, J; Zhao, SP; Sun, LG</t>
  </si>
  <si>
    <t>Zhu, Renbin; Liu, Yashu; Xu, Hua; Ma, Jing; Zhao, Sanping; Sun, Liguang</t>
  </si>
  <si>
    <t>Nitrous oxide emissions from sea animal colonies in the maritime Antarctic</t>
  </si>
  <si>
    <t>NEW-ZEALAND; SOIL; POPULATIONS; METHANE; RECORD; TUNDRA</t>
  </si>
  <si>
    <t>Little is known about nitrous oxide (N2O) emissions from wild animal colonies. N2O fluxes were measured from a penguin colony on Ardley Island, a seal and skua colony on Fildes Peninsula in the maritime Antarctic using a static chamber technique. Mean fluxes from penguin, skua and seal colonies were 856, 132 and 189 mu g N2O-N m(-2) h(-1), respectively. The deposition of sea animal excreta controls spatial variations of N2O fluxes from the colonies. The highest fluxes (2559, 2836 and 2081 mg N2O-N m(-2) h(-1) for penguin puddles, seal wallows and skua puddles, respectively) occurred during the freezing-thawing period. Laboratory experiments showed that the freezing-thawing cycle induced a flush of N2O from the soils sampled from the colonies and denitrification was the predominant process for the N2O source. We proposed that sea animal colonies represent the strong point sources of N2O in the maritime Antarctic.</t>
  </si>
  <si>
    <t>[Zhu, Renbin; Liu, Yashu; Zhao, Sanping; Sun, Liguang] Univ Sci &amp; Technol China, Inst Polar Environm, Hefei 230026, Anhui, Peoples R China; [Xu, Hua; Ma, Jing] Chinese Acad Sci, Inst Soil Sci, State Key Lab Soil &amp; Sustainable Agr, Nanjing 210008, Peoples R China</t>
  </si>
  <si>
    <t>Zhu, RB (corresponding author), Univ Sci &amp; Technol China, Inst Polar Environm, Hefei 230026, Anhui, Peoples R China.</t>
  </si>
  <si>
    <t>MAY 10</t>
  </si>
  <si>
    <t>L09807</t>
  </si>
  <si>
    <t>10.1029/2007GL032541</t>
  </si>
  <si>
    <t>300LN</t>
  </si>
  <si>
    <t>WOS:000255825400002</t>
  </si>
  <si>
    <t>Hecht, MW; Holm, DD; Petersen, MR; Wingate, BA</t>
  </si>
  <si>
    <t>Hecht, Matthew W.; Holm, Darryl D.; Petersen, Mark R.; Wingate, Beth A.</t>
  </si>
  <si>
    <t>Implementation of the LANS-α turbulence model in a primitive equation ocean model</t>
  </si>
  <si>
    <t>JOURNAL OF COMPUTATIONAL PHYSICS</t>
  </si>
  <si>
    <t>Lagrangian-averaged Navier-Stokes-alpha model; primitive equation ocean model; geophysical turbulence</t>
  </si>
  <si>
    <t>CAMASSA-HOLM EQUATIONS; CLIMATE SYSTEM MODEL; EDDY TRANSFER; CIRCULATION; TRANSPORT; STRATIFICATION; CONVERGENCE; SIMULATIONS</t>
  </si>
  <si>
    <t>This paper presents the first numerical implementation and tests of the Lagrangian-averaged Navier-Stokes-alpha (LANS-alpha) turbulence model in a primitive equation ocean model. The ocean model with which we work is the Los Alamos Parallel Ocean Program (POP); we refer to POP and our implementation of LANS-alpha as POP-alpha. Two versions of POP-alpha are presented: the full POP-alpha algorithm is derived from the LANS-a primitive equations, but requires a nested iteration that makes it too slow for practical simulations; a reduced POP-alpha algorithm is proposed, which lacks the nested iteration and is two to three times faster than the full algorithm. The reduced algorithm does not follow from a formal derivation of the LANS-alpha model equations. Despite this, simulations of the reduced algorithm are nearly identical to the full algorithm, as judged by globally averaged temperature and kinetic energy, snapshots of temperature and velocity fields, and temperature variance. Both POP-alpha algorithms can run stably with longer timesteps than standard POP. Comparison of implementations of full and reduced POP-alpha algorithms are made within an idealized test problem that captures some aspects of the Antarctic Circumpolar Current, a problem in which baroclinic instability is prominent. Both POP-alpha algorithms produce statistics that resemble higher-resolution simulations of standard POP. A linear stability analysis shows that both the full and reduced POP-a algorithms benefit from the way the LANS-alpha equations take into account the effects of the small scales on the large. Both algorithms (1) are stable; (2) have an effective Rossby deformation radius that is larger than the deformation radius of the unmodeled equations; and (3) reduce the propagation speeds of the modeled Rossby and gravity waves relative to the unmodeled waves at high wave numbers. (c) Published by Elsevier Inc.</t>
  </si>
  <si>
    <t>[Hecht, Matthew W.; Holm, Darryl D.; Petersen, Mark R.; Wingate, Beth A.] Los Alamos Natl Lab, Comp Computat &amp; Stat Sci Div, Los Alamos, NM USA; [Petersen, Mark R.; Wingate, Beth A.] Los Alamos Natl Lab, Ctr Nonlinear Studies, Los Alamos, NM 87545 USA; [Holm, Darryl D.] Univ London Imperial Coll Sci Technol &amp; Med, Dept Math, London SW7 2AZ, England</t>
  </si>
  <si>
    <t>United States Department of Energy (DOE); Los Alamos National Laboratory; United States Department of Energy (DOE); Los Alamos National Laboratory; Imperial College London</t>
  </si>
  <si>
    <t>Petersen, MR (corresponding author), Los Alamos Natl Lab, Comp Computat &amp; Stat Sci Div, Los Alamos, NM USA.</t>
  </si>
  <si>
    <t>mpetersen@lanl.gov</t>
  </si>
  <si>
    <t>Petersen, Mark R/J-9017-2019</t>
  </si>
  <si>
    <t>Petersen, Mark R/0000-0001-7170-7511; Hecht, Matthew/0000-0003-0946-4007; Holm, Darryl D/0000-0001-6362-9912</t>
  </si>
  <si>
    <t>ACADEMIC PRESS INC ELSEVIER SCIENCE</t>
  </si>
  <si>
    <t>SAN DIEGO</t>
  </si>
  <si>
    <t>525 B ST, STE 1900, SAN DIEGO, CA 92101-4495 USA</t>
  </si>
  <si>
    <t>0021-9991</t>
  </si>
  <si>
    <t>1090-2716</t>
  </si>
  <si>
    <t>J COMPUT PHYS</t>
  </si>
  <si>
    <t>J. Comput. Phys.</t>
  </si>
  <si>
    <t>10.1016/j.jcp.2008.02.018</t>
  </si>
  <si>
    <t>Computer Science, Interdisciplinary Applications; Physics, Mathematical</t>
  </si>
  <si>
    <t>Computer Science; Physics</t>
  </si>
  <si>
    <t>310AR</t>
  </si>
  <si>
    <t>WOS:000256501800015</t>
  </si>
  <si>
    <t>Stoessel, A; Cheon, WG; Vihma, T</t>
  </si>
  <si>
    <t>Stoessel, Achim; Cheon, Woo-Geun; Vihma, Timo</t>
  </si>
  <si>
    <t>Interactive momentum flux forcing over sea ice in a global ocean GCM</t>
  </si>
  <si>
    <t>NUMERICAL WEATHER PREDICTION; ATMOSPHERIC BOUNDARY-LAYER; GENERAL-CIRCULATION MODEL; WEDDELL SEA; PACK ICE; COASTAL POLYNYAS; SURFACE HEAT; DRAG COEFFICIENTS; MEAN CIRCULATION; DEEP CONVECTION</t>
  </si>
  <si>
    <t>The sensitivity of Southern Ocean sea ice to the strength of the atmospheric momentum forcing is investigated in the framework of a global ocean general circulation model. In contrast to the usual approach of having the momentum flux just depend on the wind speed and a constant drag coefficient, the newly introduced momentum flux driving sea ice considers the local stratification and roughness over ice in one case, and the flux-aggregated stratification and roughness using the blending-height concept in the other case. While both cases thus allow for an interactive feedback, only the latter case accounts for the subgrid-scale heterogeneity of the sea-ice pack. In particular, the sea-ice feedback is in the former case only provided by the simulated ice thickness, affecting the surface temperature and local stratification, while in the latter case it is also determined by the ice concentration. Both parameterizations yield predominantly statically stable, but dynamically unstable conditions at any instant over the wintertime sea-ice pack. In the winter mean, statically and dynamically unstable conditions prevail over coastal polynyas, and lead to a positive feedback with increased momentum flux. The larger momentum flux enhances the along and offshore ice drift, leading to corresponding changes in the winter-mean ice-thickness distribution, a reduction in coastal ice concentration, and an increase of heat loss due to sensible heat flux. In the case where surface heterogeneity is accounted for, the impact of the lower coastal ice concentration leads to a larger momentum flux than in the homogeneous case. The long-term deep-ocean properties are only affected when in the heterogeneous case the form drag is raised by increasing the ice freeboard and decreasing the maximum ice concentration. Only the combination of both yields a significant increase of Antarctic Bottom Water formation, as reflected by a long-term cooling and freshening of the global deep-ocean properties.</t>
  </si>
  <si>
    <t>[Stoessel, Achim; Cheon, Woo-Geun] Texas A&amp;M Univ, Dept Oceanog, College Stn, TX 77843 USA; [Vihma, Timo] Finnish Meteorol Inst, FIN-00101 Helsinki, Finland</t>
  </si>
  <si>
    <t>Texas A&amp;M University System; Texas A&amp;M University College Station; Finnish Meteorological Institute</t>
  </si>
  <si>
    <t>Cheon, WG (corresponding author), Texas A&amp;M Univ, Dept Oceanog, College Stn, TX 77843 USA.</t>
  </si>
  <si>
    <t>astoessel@ocean.tamu.edu</t>
  </si>
  <si>
    <t>Vihma, Timo/ABC-9771-2020</t>
  </si>
  <si>
    <t>MAY 9</t>
  </si>
  <si>
    <t>C05010</t>
  </si>
  <si>
    <t>10.1029/2007JC004173</t>
  </si>
  <si>
    <t>300MY</t>
  </si>
  <si>
    <t>WOS:000255829100002</t>
  </si>
  <si>
    <t>Park, YH; Gasco, N; Duhamel, G</t>
  </si>
  <si>
    <t>Park, Young-Hyang; Gasco, Nicolas; Duhamel, Guy</t>
  </si>
  <si>
    <t>Slope currents around the Kerguelen Islands from demersal longline fishing records</t>
  </si>
  <si>
    <t>CROZET BASIN; OCEAN; CIRCULATION; FRONTS; WATER</t>
  </si>
  <si>
    <t>The Kerguelen Plateau constitutes a natural obstacle for the eastward progress of the Antarctic Circumpolar Current, especially around the Kerguelen Islands. However, there is little quantitative knowledge of the current field around the islands due to lack of long-term current measurements. We performed a systematic analysis of a total of 28917 points of fishing gear drifts from setting and recovery positions of demersal longlines deployed between 2002 and 2007 for Patagonian Toothfish ( Dissostichus eleginoides) fisheries in Kerguelen waters. This enabled the construction of a realistic field of depth-averaged time-mean slope currents along the 1000 m isobath all around the Kerguelen Islands. The strongest depth-mean velocities of 25 cm s(-1) are associated with the Polar Front, which rounds the islands from the south and flows northward along the inner continental slope immediately east of the islands, strongly supporting previous hydrographic evidence. These results demonstrate the potential for hitherto unexploited historic longline drift data from demersal fishing grounds to provide valuable quantitative information on the regional circulation.</t>
  </si>
  <si>
    <t>[Park, Young-Hyang; Gasco, Nicolas; Duhamel, Guy] Museum Natl Hist Nat, Dept Milieux &amp; Peuplements Aquat, F-75005 Paris, France</t>
  </si>
  <si>
    <t>Museum National d'Histoire Naturelle (MNHN)</t>
  </si>
  <si>
    <t>Park, YH (corresponding author), Museum Natl Hist Nat, Dept Milieux &amp; Peuplements Aquat, F-75005 Paris, France.</t>
  </si>
  <si>
    <t>yhpark@mnhn.fr</t>
  </si>
  <si>
    <t>MAY 8</t>
  </si>
  <si>
    <t>L09604</t>
  </si>
  <si>
    <t>10.1029/2008GL033660</t>
  </si>
  <si>
    <t>300LJ</t>
  </si>
  <si>
    <t>WOS:000255825000003</t>
  </si>
  <si>
    <t>Nassar, R; Logan, JA; Worden, HM; Megretskaia, IA; Bowman, KW; Osterman, GB; Thompson, AM; Tarasick, DW; Austin, S; Claude, H; Dubey, MK; Hocking, WK; Johnson, BJ; Joseph, E; Merrill, J; Morris, GA; Newchurch, M; Oltmans, SJ; Posny, F; Schmidlin, FJ; Vömel, H; Whiteman, DN; Witte, JC</t>
  </si>
  <si>
    <t>Nassar, Ray; Logan, Jennifer A.; Worden, Helen M.; Megretskaia, Inna A.; Bowman, Kevin W.; Osterman, Gregory B.; Thompson, Anne M.; Tarasick, David W.; Austin, Shermane; Claude, Hans; Dubey, Manvendra K.; Hocking, Wayne K.; Johnson, Bryan J.; Joseph, Everette; Merrill, John; Morris, Gary A.; Newchurch, Mike; Oltmans, Samuel J.; Posny, Francoise; Schmidlin, F. J.; Voemel, Holger; Whiteman, David N.; Witte, Jacquelyn C.</t>
  </si>
  <si>
    <t>Validation of Tropospheric Emission Spectrometer (TES) nadir ozone profiles using ozonesonde measurements</t>
  </si>
  <si>
    <t>MAPPING SPECTROMETER; CLIMATOLOGY; VARIABILITY; SATELLITE; MODEL; TOMS</t>
  </si>
  <si>
    <t>We compare Tropospheric Emission Spectrometer (TES) version 2 (V002) nadir ozone profiles with ozonesonde profiles from the Intercontinental Chemical Transport Experiment Ozonesonde Network Study, the World Ozone and Ultraviolet Data Center, the Global Monitoring Division of the Earth System Research Laboratory, and the Southern Hemisphere Additional Ozonesonde archives. Approximately 1600 coincidences spanning 72.5 degrees S - 80.3 degrees N from October 2004 to October 2006 are found. The TES averaging kernel and constraint are applied to the ozonesonde data to account for the TES measurement sensitivity and vertical resolution. TES sonde differences are examined in six latitude zones after excluding profiles with thick high clouds. Values for the bias and standard deviation are determined using correlations of mean values of TES ozone and sonde ozone in the upper troposphere (UT) and lower troposphere (LT). The UT biases range from 2.9 to 10.6 ppbv, and the LT biases range from 3.7 to 9.2 ppbv, excluding the Arctic and Antarctic LT where TES sensitivity is low. A similar approach is used to assess seasonal differences in the northern midlatitudes where the density and frequency of sonde measurements are greatest. These results are briefly compared to TES V001 ozone validation work which also used ozonesondes but was carried out prior to improvements in the radiometric calibration and ozone retrieval in V002. Overall, the large number of TES and sonde comparisons indicate a positive bias of approximately 3 - 10 ppbv for the TES V002 nadir ozone data set and have helped to identify areas of potential improvement for future retrieval versions.</t>
  </si>
  <si>
    <t>[Nassar, Ray; Logan, Jennifer A.; Megretskaia, Inna A.] Harvard Univ, Sch Engn &amp; Appl Sci, Cambridge, MA 02138 USA; [Austin, Shermane] CUNY Medgar Evers Coll, Brooklyn, NY 11225 USA; [Bowman, Kevin W.; Osterman, Gregory B.] CALTECH, Jet Prop Lab, Pasadena, CA 91109 USA; [Claude, Hans] Deutsch Wetterdienst Meteorol Observ, D-82383 Hohenpeissenberg, Germany; [Dubey, Manvendra K.] Los Alamos Natl Lab, Los Alamos, NM 87545 USA; [Hocking, Wayne K.] Univ Western Ontario, Dept Phys &amp; Astron, London, ON N6A 3K7, Canada; [Johnson, Bryan J.; Oltmans, Samuel J.] NOAA, Earth Syst Res Lab, Boulder, CO 80305 USA; [Tarasick, David W.] Environm Canada, Expt Studies, Air Qual Res Div, Downsview, ON, Canada; [Thompson, Anne M.] Penn State Univ, Dept Meteorol, University Pk, PA 16802 USA; [Worden, Helen M.] Natl Ctr Atmospher Res, Div Atmospher Chem, Boulder, CO 80305 USA</t>
  </si>
  <si>
    <t>Harvard University; City University of New York (CUNY) System; California Institute of Technology; National Aeronautics &amp; Space Administration (NASA); NASA Jet Propulsion Laboratory (JPL); Deutscher Wetterdienst; United States Department of Energy (DOE); Los Alamos National Laboratory; Western University (University of Western Ontario); National Oceanic Atmospheric Admin (NOAA) - USA; Environment &amp; Climate Change Canada; Pennsylvania Commonwealth System of Higher Education (PCSHE); Pennsylvania State University; Pennsylvania State University - University Park; National Center Atmospheric Research (NCAR) - USA</t>
  </si>
  <si>
    <t>Nassar, R (corresponding author), Harvard Univ, Sch Engn &amp; Appl Sci, Pierce Hall,29 Oxford St, Cambridge, MA 02138 USA.</t>
  </si>
  <si>
    <t>ray@io.as.harvard.edu; jal@io.harvard.edu; hmw@ucar.edu; iam@io.harvard.edu; kevin.bowman@jpl.nasa.gov; gregory.b.osterman@jpl.nasa.gov; anne@met.psu.edu; david.n.whiteman@nasa.gov; saustin@mec.cuny.edu; hans.claude@dwd.de; dubey@lanl.gov; whocking@uwo.ca; bryan.johnson@noaa.gov; ejoseph@howard.edu; jmerrill@gso.uri.edu; gary.morris@valpo.edu; mike@nsstc.uah.edu; samuel.j.oltmans@noaa.gov; francoise.posny@univ-reunion.fr; fjs@osb1.wff.nasa.gov; holger.voemel@colorado.edu; david.tarasick@ec.gc.ca; witte@gavial.gsfc.nasa.gov</t>
  </si>
  <si>
    <t>Dubey, Manvendra Krishna/E-3949-2010; Bowman, Kevin/L-8786-2019; Tarasick, David Walter/IYS-7006-2023; Morris, Gary A/HSG-4776-2023; Logan, Jennifer A/B-7323-2014; Thompson, Anne Mee/V-5862-2019; Dubey, Manvendra/N-5423-2019; Oltmans, Samuel/AAC-8987-2022; Witte, Jacquelyn/H-7393-2013</t>
  </si>
  <si>
    <t>Bowman, Kevin/0000-0002-8659-1117; Tarasick, David Walter/0000-0001-9869-0692; Morris, Gary A/0000-0002-2196-8454; Thompson, Anne Mee/0000-0002-7829-0920; Dubey, Manvendra/0000-0002-3492-790X; Nassar, Ray/0000-0001-6282-1611; Witte, Jacquelyn/0000-0002-4110-5277</t>
  </si>
  <si>
    <t>MAY 7</t>
  </si>
  <si>
    <t>D15</t>
  </si>
  <si>
    <t>D15S17</t>
  </si>
  <si>
    <t>10.1029/2007JD008819</t>
  </si>
  <si>
    <t>300MI</t>
  </si>
  <si>
    <t>WOS:000255827500002</t>
  </si>
  <si>
    <t>Saenko, OA</t>
  </si>
  <si>
    <t>Saenko, Oleg A.</t>
  </si>
  <si>
    <t>Influence of the enhanced mixing within the Southern Ocean fronts on the overturning circulation</t>
  </si>
  <si>
    <t>GENERAL-CIRCULATION; DISSIPATION; MODEL; WIND</t>
  </si>
  <si>
    <t>Observations indicate that turbulent mixing is enhanced in the major fronts of the Antarctic Circumpolar Current (ACC), penetrating through much of the water column. Here we employ a simple representation of this process in a global climate model to evaluate its potential impact on the ocean's overturning circulation. Two effects are obtained. First, the frontally-intensified mixing in the Southern Ocean increases the transformation of NADW to UCDW. Second, by intensifying the dense water upwelling in the south, the vertical mixing in the ACC fronts returns a fraction of the northward flowing AABW/LCDW as UCDW, consistent with recent observational results; the corresponding abyssal overturning weakens. The results are interpreted using a single-basin model.</t>
  </si>
  <si>
    <t>Environm Canada, Canadian Ctr Climate Modelling &amp; Anal, Victoria, BC V8W 2Y2, Canada</t>
  </si>
  <si>
    <t>Environment &amp; Climate Change Canada; Canadian Centre for Climate Modelling &amp; Analysis (CCCma)</t>
  </si>
  <si>
    <t>Saenko, OA (corresponding author), Environm Canada, Canadian Ctr Climate Modelling &amp; Anal, Victoria, BC V8W 2Y2, Canada.</t>
  </si>
  <si>
    <t>oleg.saenko@ec.gc.ca</t>
  </si>
  <si>
    <t>MAY 2</t>
  </si>
  <si>
    <t>L09602</t>
  </si>
  <si>
    <t>10.1029/2008GL033565</t>
  </si>
  <si>
    <t>297BY</t>
  </si>
  <si>
    <t>WOS:000255593300001</t>
  </si>
  <si>
    <t>Kravchun, PN</t>
  </si>
  <si>
    <t>Kravchun, P. N.</t>
  </si>
  <si>
    <t>Influence of the benthic front on the mode structure of acoustic field in the ocean</t>
  </si>
  <si>
    <t>ACOUSTICAL PHYSICS</t>
  </si>
  <si>
    <t>The characteristic features of the mode structure of low-frequency sound field in the ocean are investigated for the ocean regions containing the benthic front, which represents the boundary between the Antarctic bottom water and the deep water. The hydrographic characteristics of the benthic front are described with the use of the data of the international WOCE experiment. On the basis of mathematical simulation, the changes introduced by the benthic front into the phase and group velocities and the vertical structure of modes are estimated for a frequency range of 5-20 Hz. Possible ways of reconstructing the hydrographic characteristics of the benthic front by the mode tomography methods are considered.</t>
  </si>
  <si>
    <t>Moscow MV Lomonosov State Univ, Fac Phys, Moscow 119899, Russia</t>
  </si>
  <si>
    <t>Lomonosov Moscow State University</t>
  </si>
  <si>
    <t>Kravchun, PN (corresponding author), Moscow MV Lomonosov State Univ, Fac Phys, Moscow 119899, Russia.</t>
  </si>
  <si>
    <t>gedackt@mail.ru</t>
  </si>
  <si>
    <t>PLEIADES PUBLISHING INC</t>
  </si>
  <si>
    <t>PLEIADES PUBLISHING INC, MOSCOW, 00000, RUSSIA</t>
  </si>
  <si>
    <t>1063-7710</t>
  </si>
  <si>
    <t>1562-6865</t>
  </si>
  <si>
    <t>ACOUST PHYS+</t>
  </si>
  <si>
    <t>Acoust. Phys.</t>
  </si>
  <si>
    <t>MAY-JUN</t>
  </si>
  <si>
    <t>10.1134/S1063771008030123</t>
  </si>
  <si>
    <t>Acoustics</t>
  </si>
  <si>
    <t>306FK</t>
  </si>
  <si>
    <t>WOS:000256233500012</t>
  </si>
  <si>
    <t>Crawford, RJM; Makhado, AB; Upfold, L; Dyer, BM</t>
  </si>
  <si>
    <t>Crawford, R. J. M.; Makhado, A. B.; Upfold, L.; Dyer, B. M.</t>
  </si>
  <si>
    <t>Mass on arrival of rockhopper penguins at Marion Island correlated with breeding success</t>
  </si>
  <si>
    <t>AFRICAN JOURNAL OF MARINE SCIENCE</t>
  </si>
  <si>
    <t>breeding success; climate change; Eudyptes chrysocome; parental condition; rockhopper penguin; sub-Antarctic</t>
  </si>
  <si>
    <t>EUDYPTES-CHRYSOCOME; DECLINE; NUMBERS; TRENDS; GENTOO; KING</t>
  </si>
  <si>
    <t>For rockhopper penguins Eudyptes chrysocome at Marion Island, there were significant decreases over time in the numbers breeding and breeding success at three monitored colonies from 1985/1986 to 2006/2007, and in mass on arrival for breeding of both males and females from 1994/1995 to 2007/2008. Breeding success decreased by 0.15 chicks pair(-1) y(-1) over 22 years and was significantly correlated with mass on arrival of males and females. Survival of chicks at the guard stage was low in the late 1990s; hatching success decreased in the early 2000s. It is thought that an increasingly poor parental condition caused birds to abandon breeding at a progressively early stage. Parental condition is influenced by feeding opportunities at overwintering grounds, which have probably been altered by global climate.</t>
  </si>
  <si>
    <t>[Crawford, R. J. M.; Makhado, A. B.; Upfold, L.; Dyer, B. M.] Marine &amp; Coastal Management, Dept Environm Affairs &amp; Tourism, ZA-8012 Cape Town, South Africa; [Crawford, R. J. M.] Univ Cape Town, Anim Demog Unit, Dept Zool, ZA-7701 Rondebosch, South Africa</t>
  </si>
  <si>
    <t>University of Cape Town</t>
  </si>
  <si>
    <t>Crawford, RJM (corresponding author), Marine &amp; Coastal Management, Dept Environm Affairs &amp; Tourism, ZA-8012 Cape Town, South Africa.</t>
  </si>
  <si>
    <t>crawford@deat.gov.za</t>
  </si>
  <si>
    <t>National Research Foundation</t>
  </si>
  <si>
    <t>We thank our research institutes (listed under addresses), the National Research Foundation through its South African National Antarctic Programme and SEACHANGE Programme for supporting this research. We thank all field workers who helped with the data collection at the island. We are grateful to AC Wolfaardt and an anonymous reviewer for their helpful suggestions.</t>
  </si>
  <si>
    <t>NATL INQUIRY SERVICES CENTRE PTY LTD</t>
  </si>
  <si>
    <t>GRAHAMSTOWN</t>
  </si>
  <si>
    <t>19 WORCESTER STREET, PO BOX 377, GRAHAMSTOWN 6140, SOUTH AFRICA</t>
  </si>
  <si>
    <t>1814-232X</t>
  </si>
  <si>
    <t>1814-2338</t>
  </si>
  <si>
    <t>AFR J MAR SCI</t>
  </si>
  <si>
    <t>Afr. J. Mar. Sci.</t>
  </si>
  <si>
    <t>MAY</t>
  </si>
  <si>
    <t>10.2989/AJMS.2008.30.1.19.469</t>
  </si>
  <si>
    <t>339BA</t>
  </si>
  <si>
    <t>WOS:000258551900020</t>
  </si>
  <si>
    <t>Crawford, RJM; Tree, AJ; Whittington, PA; Visagie, J; Upfold, L; Roxburg, KJ; Martin, AP; Dyer, BM</t>
  </si>
  <si>
    <t>Crawford, R. J. M.; Tree, A. J.; Whittington, P. A.; Visagie, J.; Upfold, L.; Roxburg, K. J.; Martin, A. P.; Dyer, B. M.</t>
  </si>
  <si>
    <t>Recent distributional changes of seabirds in South Africa: is climate having an impact?</t>
  </si>
  <si>
    <t>climate change; colonisation; distributional shift; range expansion; seabird; South Africa</t>
  </si>
  <si>
    <t>PENGUINS SPHENISCUS-DEMERSUS; LARUS-DOMINICANUS-VETULA; GANNETS MORUS-CAPENSIS; MARION ISLAND; WESTERN CAPE; POPULATION-SIZE; ROCK LOBSTERS; KELP GULL; NUMBERS; CONSERVATION</t>
  </si>
  <si>
    <t>There have been recent changes in the distributions of several seabirds in South Africa. In the mid-1990s, breeding of Leach's storm petrel Oceanodroma leucorhoa was recorded in the Western Cape, the first record for the Southern Hemisphere. There was a large eastward expansion in the breeding range of crowned cormorant Phalacrocorax coronatus sometime between the early 1990s and the early 2000s, and in that of Hartlaub's gull Larus hartlaubii between 1995 and 2000. A smaller eastward expansion in the breeding range of kelp gull Larus dominicanus was noted in 2006. In 2003, a new colony of African penguins Spheniscus demersus formed in the east of the Western Cape, but after 2004 there were large decreases of penguins at colonies in the west of this province. South Africa's northernmost penguin colony became extinct in 2006. In the early 2000s, there was a decrease in numbers of Cape gannets Morus capensis breeding in the Western Cape, but a large increase in the Eastern Cape. Numbers of Cape P. capensis and bank P. neglectus cormorants decreased in the north of the Western Cape in the 1990s, but increased at some southern localities in the 2000s. A similar pattern was noted for kelp gulls, except that the decreases in the north took place in the 2000s. The proportion of swift terns Sterna bergh in the Western Cape that bred in the south of this province increased markedly in the mid-2000s. Although local factors may have played a role in the distributional changes, their consistent anticlockwise nature, the broad similarity in their timing and their widespread occurrence suggest the influence of environmental change, perhaps forced by climate. This hypothesis is supported by similar displacements of other South African marine resources and congruent changes in seabird populations in the South-West Indian Ocean.</t>
  </si>
  <si>
    <t>[Crawford, R. J. M.; Upfold, L.; Dyer, B. M.] Marine &amp; Coastal Management, Dept Environm Affairs &amp; Tourism, ZA-8012 Cape Town, South Africa; [Crawford, R. J. M.] Univ Cape Town, Anim Demog Unit, Dept Zool, ZA-7701 Rondebosch, South Africa; [Tree, A. J.] Nelson Mandela Metropolitan Univ, Dept Zool, ZA-6031 Port Elizabeth, South Africa; [Whittington, P. A.] E London Museum, ZA-5213 Southernwood, South Africa; [Visagie, J.] CapeNature, ZA-7701 Rondebosch, South Africa</t>
  </si>
  <si>
    <t>University of Cape Town; Nelson Mandela University</t>
  </si>
  <si>
    <t>Crawford, RJM (corresponding author), Marine &amp; Coastal Management, Dept Environm Affairs &amp; Tourism, Private Bag X2, ZA-8012 Cape Town, South Africa.</t>
  </si>
  <si>
    <t>National Research Foundation; Norway South Africa Fisheries Agreement (NORSA); CapeNature; Department of Environmental Affairs and Tourism; Robben Island Museum; South African National Parks; South African Navy</t>
  </si>
  <si>
    <t>We thank our research institutes (listed under addresses), the National Research Foundation through its South African National Antarctic Programme and SEACHANGE programmes and the Earthwatch Institute and Norway South Africa Fisheries Agreement (NORSA) for supporting this research. CapeNature, Department of Environmental Affairs and Tourism, Robben Island Museum, South African National Parks and South African Navy provided logistical support. We thank D Gremillet and an anonymous reviewer for their most useful comments on the original manuscript.</t>
  </si>
  <si>
    <t>10.2989/AJMS.2008.30.1.20.470</t>
  </si>
  <si>
    <t>WOS:000258551900021</t>
  </si>
  <si>
    <t>Timofeev, MA; Shatilina, ZM; Bedulina, DS; Protopopova, MV; Kolesnichenko, AV</t>
  </si>
  <si>
    <t>Timofeev, M. A.; Shatilina, Zh. M.; Bedulina, D. S.; Protopopova, M. V.; Kolesnichenko, A. V.</t>
  </si>
  <si>
    <t>Application of heat shock proteins as stress markers in aquatic organisms using endemic Baikal amphipods as an example</t>
  </si>
  <si>
    <t>APPLIED BIOCHEMISTRY AND MICROBIOLOGY</t>
  </si>
  <si>
    <t>ACCLIMATION-INDUCED VARIATION; SNAILS GENUS TEGULA; TREMATOMUS-BERNACCHII; MOLECULAR CHAPERONES; HYDRA-OLIGACTIS; ANTARCTIC FISH; HSP70; EXPRESSION; EVOLUTIONARY; BIOMARKER</t>
  </si>
  <si>
    <t>When heat shock proteins (HSPs) are used as biomarkers in monitoring studies of aquatic ecosystems, it is necessary to take into account the specificity of synthesis of these proteins in various organisms. This especially applies to endemic species and species with narrow ranges of adaptation for specific conditions in certain water bodies. In this study, we assessed the possibility to use HSPs as molecular stress markers in species with a narrow niche breadth using endemic Baikal amphipods (Crustacea, Amphipoda) as an example. The effect of stress induced by toxicants and temperature has been assessed. Proteins of families HSP70 and lowmolecular-weight HSP related to alpha-crystallins were used as biomarkers. Temperature-and toxicant-induced stresses induced low-molecular-weight HSP synthesis in the endemic amphipod species studied. However, induction of HSP70 synthesis in the same species after temperature stress has not been detected. The specificity of synthesis of HSP70 is discussed. The results obtained in this study suggest that low-molecular-weight HSPs can be used as stress markers in Baikal species and species with a narrow niche breadth.</t>
  </si>
  <si>
    <t>[Timofeev, M. A.; Shatilina, Zh. M.; Bedulina, D. S.; Protopopova, M. V.] Irkutsk State Univ, Irkutsk 664063, Russia; [Kolesnichenko, A. V.] Russian Acad Sci, Siberian Inst Plant Physiol &amp; Biochem, Siberian Branch, Irkutsk 664033, Russia</t>
  </si>
  <si>
    <t>Irkutsk State University; Irkutsk Science Centre of the Russian Academy of Sciences; Russian Academy of Sciences; Siberian Institute of Plant Physiology &amp; Biochemistry; Sochava Institute of Geography, Siberian Branch of the Russian Academy of Sciences</t>
  </si>
  <si>
    <t>Timofeev, MA (corresponding author), Irkutsk State Univ, Irkutsk 664063, Russia.</t>
  </si>
  <si>
    <t>mtim@irk.ru</t>
  </si>
  <si>
    <t>Protopopova, Marina V./I-8637-2014; Shatilina, Zhanna Mikhailovna/CAF-0020-2022; Shatilina, Zhanna/K-1313-2012; Timofeyev, Maxim/F-2071-2010; Kolesnichenko, Aleksey V./HZI-2476-2023; Bedulina, Daria/E-6976-2012</t>
  </si>
  <si>
    <t>Protopopova, Marina V./0000-0002-4722-5368; Shatilina, Zhanna Mikhailovna/0000-0002-5926-4612; Timofeyev, Maxim/0000-0002-5250-6818; Kolesnichenko, Aleksey V./0000-0003-3870-0080; Bedulina, Daria/0000-0001-7650-0974</t>
  </si>
  <si>
    <t>0003-6838</t>
  </si>
  <si>
    <t>1608-3024</t>
  </si>
  <si>
    <t>APPL BIOCHEM MICRO+</t>
  </si>
  <si>
    <t>Appl. Biochem. Microbiol.</t>
  </si>
  <si>
    <t>10.1134/S0003683808030150</t>
  </si>
  <si>
    <t>300UG</t>
  </si>
  <si>
    <t>WOS:000255850100015</t>
  </si>
  <si>
    <t>Lawton, K; Kirkwood, R; Robertson, G; Raymond, B</t>
  </si>
  <si>
    <t>Lawton, Kieran; Kirkwood, Roger; Robertson, Graham; Raymond, Ben</t>
  </si>
  <si>
    <t>Preferred foraging areas of Heard Island albatrosses during chick raising and implications for the management of incidental mortality in fisheries</t>
  </si>
  <si>
    <t>AQUATIC CONSERVATION-MARINE AND FRESHWATER ECOSYSTEMS</t>
  </si>
  <si>
    <t>black-browed albatrosses; light-mantled sooty albatrosses; Heard Island</t>
  </si>
  <si>
    <t>DIOMEDEA-MELANOPHRYS; SEA-ICE; SOUTH; SEABIRDS</t>
  </si>
  <si>
    <t>1. Incidental mortality in fisheries is causing declines in many albatross populations around the world. To assess potential interactions with regional fisheries satellite tags were used to track black-browed albatrosses (Thalassarche melanophrys) and light-mantled sooty albatrosses (Phoebetria palpebrata) breeding on Heard Island during the chick-rearing periods of 2003/04. This was the first time individuals from either population had been tracked. 2. Black-browed albatrosses foraged largely within the Heard and McDonald Islands Economic Exclusion Zone (EEZ) north-east of the island, although 20% of foraging trips were to areas north of the EEZ into Commission for the Conservation of Antarctic Marine Living Resources (CCAMLR) areas 58.5.1 and 58.5.2 and into the Iles Kerguelen EEZ. 3. In contrast, the light-mantled sooty albatrosses foraged well south of Heard Island along the southern boundary of the Antarctic Circumpolar Current. Both species appear to face minimal risk of incidental mortality during the chick-rearing period in the regulated, legal fisheries, but are threatened by illegal, unreported and unregulated (IUU) fishing vessels operating in the southern Indian Ocean. Copyright (C) 2007 John Wiley &amp; Sons, Ltd.</t>
  </si>
  <si>
    <t>[Lawton, Kieran; Robertson, Graham; Raymond, Ben] Australian Antarctic Div, Kingston, Tas, Australia; [Kirkwood, Roger] Phillip Isl Nat Pk, Cowes, Vic, Australia</t>
  </si>
  <si>
    <t>Australian Antarctic Division</t>
  </si>
  <si>
    <t>Lawton, K (corresponding author), Aspect Ecol, 20 Menuggana Rd, Fern Tree, Tas 7054, Australia.</t>
  </si>
  <si>
    <t>Kieran.Lawton@ozemail.com.au</t>
  </si>
  <si>
    <t>Kirkwood, Roger/0000-0003-4221-4050</t>
  </si>
  <si>
    <t>1052-7613</t>
  </si>
  <si>
    <t>1099-0755</t>
  </si>
  <si>
    <t>AQUAT CONSERV</t>
  </si>
  <si>
    <t>Aquat. Conserv.-Mar. Freshw. Ecosyst.</t>
  </si>
  <si>
    <t>10.1002/aqc.857</t>
  </si>
  <si>
    <t>Environmental Sciences; Marine &amp; Freshwater Biology; Water Resources</t>
  </si>
  <si>
    <t>Environmental Sciences &amp; Ecology; Marine &amp; Freshwater Biology; Water Resources</t>
  </si>
  <si>
    <t>311MJ</t>
  </si>
  <si>
    <t>WOS:000256604000006</t>
  </si>
  <si>
    <t>Borghini, F; Colacevich, A; Caruso, T; Bargagli, R</t>
  </si>
  <si>
    <t>Borghini, Francesca; Colacevich, Andrea; Caruso, Tancredi; Bargagli, Roberto</t>
  </si>
  <si>
    <t>Temporal variation in the water chemistry of northern Victoria Land lakes (Antarctica)</t>
  </si>
  <si>
    <t>AQUATIC SCIENCES</t>
  </si>
  <si>
    <t>continental Antarctica; TN; spatio-temporal variation</t>
  </si>
  <si>
    <t>MCMURDO DRY VALLEYS; TAYLOR VALLEY; STREAMS; ISLAND; PONDS; STRATIFICATION; GEOCHEMISTRY; EVOLUTION</t>
  </si>
  <si>
    <t>Concentrations of major ions, silicate and nutrients (total N and P) were measured in samples of surface water from 28 lakes in ice-free areas of northern Victoria Land (East Antarctica). Sixteen lakes were sampled during austral summers 2001/02, 2003/04, 2004/05 and 2005/06 to assess temporal variation in water chemistry. Although samples showed a wide range in ion concentrations, their composition mainly reflected that of seawater. In general, as the distance from the sea increased, the input of elements from the marine environment (through aerosols and seabirds) decreased and there was an increase in nitrate and sulfate concentrations. Antarctic lakes lack outflows and during the austral summer the melting and/or ablation of ice cover, water evaporation and leaching processes in dry soils determine a progressive increase in water ion concentrations. During the five-year monitoring survey, no statistically significant variation in the water chemistry were detected, except for a slight (hardly significant) increase in TN concentrations. However, Canonical Correspondence Analysis (CCA) indicated that other factors besides distance from the sea, the presence of nesting seabirds, the sampling time and percentage of ice cover affect the composition of water in Antarctic cold desert environments.</t>
  </si>
  <si>
    <t>[Borghini, Francesca; Colacevich, Andrea; Caruso, Tancredi; Bargagli, Roberto] Univ Siena, Dept Environm Sci, I-53100 Siena, Italy</t>
  </si>
  <si>
    <t>University of Siena</t>
  </si>
  <si>
    <t>Borghini, F (corresponding author), Univ Siena, Dept Environm Sci, Via PA Mattioli 4, I-53100 Siena, Italy.</t>
  </si>
  <si>
    <t>borghini@unisi.it</t>
  </si>
  <si>
    <t>Caruso, Tancredi/H-1103-2012</t>
  </si>
  <si>
    <t>Caruso, Tancredi/0000-0002-3607-9609</t>
  </si>
  <si>
    <t>SPRINGER BASEL AG</t>
  </si>
  <si>
    <t>BASEL</t>
  </si>
  <si>
    <t>PICASSOPLATZ 4, BASEL, 4052, SWITZERLAND</t>
  </si>
  <si>
    <t>1015-1621</t>
  </si>
  <si>
    <t>1420-9055</t>
  </si>
  <si>
    <t>AQUAT SCI</t>
  </si>
  <si>
    <t>Aquat. Sci.</t>
  </si>
  <si>
    <t>10.1007/s00027-008-8026-0</t>
  </si>
  <si>
    <t>Environmental Sciences; Limnology; Marine &amp; Freshwater Biology</t>
  </si>
  <si>
    <t>308YI</t>
  </si>
  <si>
    <t>WOS:000256426400004</t>
  </si>
  <si>
    <t>Bader, MY; Rietkerk, M; Bregt, AK</t>
  </si>
  <si>
    <t>Bader, Maaike Y.; Rietkerk, Max; Bregt, Arnold K.</t>
  </si>
  <si>
    <t>A simple spatial model exploring positive feedbacks at tropical alpine treelines</t>
  </si>
  <si>
    <t>ARCTIC ANTARCTIC AND ALPINE RESEARCH</t>
  </si>
  <si>
    <t>VEGETATION STRUCTURE; CATASTROPHIC SHIFTS; PARAMO GRASSLANDS; ECOTONES; RADIATION; PATTERN; PHOTOINHIBITION; REGENERATION; RESPONSES; ECUADOR</t>
  </si>
  <si>
    <t>Climate change could cause alpine treelines to shift in altitude or to change their spatial pattern, but little is known about the drivers of treeline dynamics and patterning. The position and patterns of tropical alpine treelines are generally attributed to land use, especially burning. Species interactions, in particular facilitation through shading, may also be important for treeline patterning and dynamics. We studied how fire in alpine vegetation and shade dependence of trees may affect the position and spatial pattern of tropical alpine treelines and their response to climatic warming, using a spatial minimal model of tree growth at treeline. Neighboring trees provided shade and protection from fire. The positive feedback that resulted from these neighbor interactions strongly affected the emergent treelines and always reduced the distance and speed of treeline advance after a temperature increase. Our model demonstrated that next to fire, shade dependence of trees can also lead to abrupt treelines and relatively low treeline positions. This implies that these patterns do not necessarily indicate human disturbance. Strong abruptness of a treeline may indicate that it will respond slowly to climatic changes.</t>
  </si>
  <si>
    <t>[Bader, Maaike Y.; Bregt, Arnold K.] Wageningen Univ, Ctr Geoinformat, NL-6700 AA Wageningen, Netherlands; [Rietkerk, Max] Univ Utrecht, Dept Environm Sci, Copernicus Inst, NL-3508 TC Utrecht, Netherlands</t>
  </si>
  <si>
    <t>Wageningen University &amp; Research; Utrecht University</t>
  </si>
  <si>
    <t>Bader, MY (corresponding author), Carl von Ossietzky Univ Oldenburg, Dept Biol &amp; Environm Sci, D-26111 Oldenburg, Germany.</t>
  </si>
  <si>
    <t>maaike.bader@uni-oldenburg.de</t>
  </si>
  <si>
    <t>Rietkerk, Max/H-6235-2011; Bader, Maaike Y./M-7998-2013</t>
  </si>
  <si>
    <t>Bader, Maaike Y./0000-0003-4300-7598; Bregt, Arnold/0000-0002-5138-5954; Rietkerk, Max/0000-0002-2698-3848</t>
  </si>
  <si>
    <t>1523-0430</t>
  </si>
  <si>
    <t>1938-4246</t>
  </si>
  <si>
    <t>ARCT ANTARCT ALP RES</t>
  </si>
  <si>
    <t>Arct. Antarct. Alp. Res.</t>
  </si>
  <si>
    <t>10.1657/1523-0430(07-024)[BADER]2.0.CO;2</t>
  </si>
  <si>
    <t>Environmental Sciences; Geography, Physical</t>
  </si>
  <si>
    <t>Environmental Sciences &amp; Ecology; Physical Geography</t>
  </si>
  <si>
    <t>320XI</t>
  </si>
  <si>
    <t>WOS:000257268100001</t>
  </si>
  <si>
    <t>Bockheim, JG; Prentice, ML; McLeod, M</t>
  </si>
  <si>
    <t>Bockheim, J. G.; Prentice, M. L.; McLeod, M.</t>
  </si>
  <si>
    <t>Distribution of glacial deposits, soils, and permafrost in Taylor Valley, Antarctica</t>
  </si>
  <si>
    <t>MCMURDO DRY VALLEYS; GROUNDED ICE-SHEET; WRIGHT VALLEY; VICTORIA LAND; SOUND REGION; BONNEY DRIFT; LATE NEOGENE; ROSS SEA; ENVIRONMENT; CHRONOLOGY</t>
  </si>
  <si>
    <t>We provide a map of lower and central Taylor Valley, Antarctica, that shows deposits from Taylor Glacier, local alpine glaciers, and grounded ice in the Ross Embayment. From our electronic database, which includes 153 sites from the coast 50 km upvalley to Pearse Valley, we show the distribution of permafrost type and soil subgroups according to Soil Taxonomy. Soils in eastern Taylor Valley are of late Pleistocene age, cryoturbated due to the presence of ground ice or ice-cemented permafrost within 70 cm of the surface, and classified as Glacic and Typic Haploturbels. In central Taylor Valley, soils are dominantly Typic Anhyorthels of mid-Pleistocene age that have dry-frozen permafrost within the upper 70 cm. Salt-enriched soils (Salic Anhyorthels and Petrosalic Anhyorthels) are of limited extent in Taylor Valley and occur primarily on drifts of early Pleistocene and Pliocene age. Soils are less developed in Taylor Valley than in nearby Wright Valley, because of lesser salt input from atmospheric deposition and salt weathering. Ice-cemented permafrost is ubiquitous on Ross Sea, pre-Ross Sea, and Bonney drifts that occur within 28 km of the McMurdo coast. In contrast, dry-frozen permafrost is prevalent on older (&gt;= 115 ky) surfaces to the west.</t>
  </si>
  <si>
    <t>[Bockheim, J. G.] Univ Wisconsin, Dept Soil Sci, Madison, WI 53706 USA; [Prentice, M. L.] Indiana Univ, Bloomington, IN 47405 USA; [McLeod, M.] Landcare Res, Soil Serv, Hamilton 2001, New Zealand</t>
  </si>
  <si>
    <t>University of Wisconsin System; University of Wisconsin Madison; Indiana University System; Indiana University Bloomington; Landcare Research - New Zealand</t>
  </si>
  <si>
    <t>Bockheim, JG (corresponding author), Univ Wisconsin, Dept Soil Sci, 1525 Observ Dr, Madison, WI 53706 USA.</t>
  </si>
  <si>
    <t>bockheim@wisc.edu</t>
  </si>
  <si>
    <t>INST ARCTIC ALPINE RES</t>
  </si>
  <si>
    <t>BOULDER</t>
  </si>
  <si>
    <t>UNIV COLORADO, BOULDER, CO 80309 USA</t>
  </si>
  <si>
    <t>10.1657/1523-0430(06-057)[BOCKHEIM]2.0.CO;2</t>
  </si>
  <si>
    <t>WOS:000257268100002</t>
  </si>
  <si>
    <t>Breen, K; Levesque, E</t>
  </si>
  <si>
    <t>Breen, Katie; Levesque, Esther</t>
  </si>
  <si>
    <t>The influence of biological soil crusts on soil characteristics along a High Arctic glacier foreland, Nunavut, Canada</t>
  </si>
  <si>
    <t>POLAR DESERT ECOSYSTEM; DEVON ISLAND; CRYPTOGAMIC CRUSTS; PLANT-DISTRIBUTION; ELLESMERE-ISLAND; SVERDRUP PASS; VEGETATION; NWT; ESTABLISHMENT; SUCCESSION</t>
  </si>
  <si>
    <t>This study explores the physical, chemical and microclimatological properties of soils along a High Arctic glacier foreland and adjacent moraine in relation to the development of biological soil crusts. We examine various edaphic properties: soil temperature, volumetric water content, organic carbon content, and texture in surface samples (similar to 1 cm) with and without a cover of biological soil crust as well as changes in nitrogen, phosphorus, potassium, organic carbon, pH, volumetric water content, bulk density, and texture in crusted surfaces (&lt;1 cm) and soil cores (5 cm) along a chronosequence following deglaciation. Soil crusts developed within four years of deglaciation and subsequent peaks in crust cover and thickness coincided with an accumulation of nitrogen and organic carbon in the crust. Crusted surfaces had significantly higher volumetric water content, organic carbon, a greater silt and clay fraction, and lower temperature compared to uncrusted soils. A steady supply of water from glacier melt promoted rapid development of biological soil crusts, creating an edaphic environment with enhanced moisture and nutrient properties which contributed to the high rate of vascular plant succession previously observed on this foreland. Results presented in this study are compared with edaphic conditions at other circumpolar sites and glacier forelands.</t>
  </si>
  <si>
    <t>[Breen, Katie; Levesque, Esther] Univ Quebec Trois Rivieres, Dept Chim Biol, Trois Rivieres, PQ G9A 5H7, Canada; [Breen, Katie; Levesque, Esther] Univ Laval, Ctr Etud Nord, Quebec City, PQ G1V 0A6, Canada</t>
  </si>
  <si>
    <t>University of Quebec; University of Quebec Trois Rivieres; Laval University</t>
  </si>
  <si>
    <t>Levesque, E (corresponding author), Univ Quebec Trois Rivieres, Dept Chim Biol, Trois Rivieres, PQ G9A 5H7, Canada.</t>
  </si>
  <si>
    <t>Esther.Levesque@uqtr.ca</t>
  </si>
  <si>
    <t>Levesque, Esther/0000-0002-1119-6032</t>
  </si>
  <si>
    <t>10.1657/1523-0430(06-098)[BREEN]2.0.CO;2</t>
  </si>
  <si>
    <t>WOS:000257268100003</t>
  </si>
  <si>
    <t>Conn, JS; Beattie, KL; Shephard, MA; Carlson, ML; Lapina, I; Hebert, M; Gronquist, R; Densmore, R; Rasy, M</t>
  </si>
  <si>
    <t>Conn, J. S.; Beattie, K. L.; Shephard, M. A.; Carlson, M. L.; Lapina, I.; Hebert, M.; Gronquist, R.; Densmore, R.; Rasy, M.</t>
  </si>
  <si>
    <t>Alaska Melilotus invasions:: Distribution, origin, and susceptibility of plant communities</t>
  </si>
  <si>
    <t>TANANA RIVER FLOODPLAIN; 7 LEGUME CROPS; PRIMARY SUCCESSION; GLACIER BAY; SOILS; GRASSLANDS; FIXATION</t>
  </si>
  <si>
    <t>Melilotus alba and M. officinalis were introduced to Alaska in 1913 as potential forage crops. These species have become naturalized and are now invading large, exotic plant-free regions of Alaska. We determined distributions of M. alba and M. officinalis in Alaska from surveys conducted each summer from 2002 to 2005. Melilotus alba and M. officinalis occurred at 721 and 205 sites, respectively (39,756 total sites surveyed). The northward limit for M. alba and M. officinalis was 67.15 degrees N and 64.87 degrees N, respectively. Both species were strictly associated with soil disturbance. Metilotus alba extended no farther than 15 m from road edges except where M. alba on roadsides met river floodplains and dispersed downriver (Matanuska and Nenana Rivers). Melilotus has now reached the Tanana River, a tributary of the Yukon River. Populations on floodplains were most extensive on braided sections. On the Nenana River, soil characteristics did not differ between where M. alba was growing versus similar areas where it had not yet reached. The pH of river soils (7.9-8.3) was higher than highway soils (7.3). Upland taiga plant communities grow on acid soils which may protect them from invasion by Melilotus, which prefer alkaline soils; however, early succession communities on river floodplains are susceptible because soils are alkaline.</t>
  </si>
  <si>
    <t>[Conn, J. S.; Beattie, K. L.] Univ Alaska Fairbanks, USDA ARS, Subarct Agr Res Unit, Fairbanks, AK 99775 USA; [Shephard, M. A.] US Forest Serv, Anchorage, AK 99503 USA; [Carlson, M. L.; Lapina, I.] Univ Alaska Anchorage, Alaska Nat Heritage Program, Anchorage, AK 99501 USA; [Carlson, M. L.; Lapina, I.] Univ Alaska Anchorage, Dept Biol Sci, Anchorage, AK 99501 USA; [Hebert, M.] Univ Alaska Fairbanks, Cooperat Extens Serv, Fairbanks, AK 99775 USA; [Gronquist, R.] Fairbanks Dist Off, Bureau Land Management, Fairbanks, AK 99709 USA; [Densmore, R.] US Geol Survey, Alaska Sci Ctr, Anchorage, AK 99503 USA; [Rasy, M.] Univ Alaska Fairbanks, Cooperat Extens Serv, Anchorage, AK 99508 USA</t>
  </si>
  <si>
    <t>United States Department of Agriculture (USDA); University of Alaska System; University of Alaska Fairbanks; United States Department of Agriculture (USDA); United States Forest Service; University of Alaska System; University of Alaska Anchorage; University of Alaska System; University of Alaska Anchorage; University of Alaska System; University of Alaska Fairbanks; United States Department of the Interior; United States Geological Survey; University of Alaska System; University of Alaska Fairbanks</t>
  </si>
  <si>
    <t>Conn, JS (corresponding author), Univ Alaska Fairbanks, USDA ARS, Subarct Agr Res Unit, 360 ONeill Bldg, Fairbanks, AK 99775 USA.</t>
  </si>
  <si>
    <t>ffjscl@uaf.edu</t>
  </si>
  <si>
    <t>10.1657/1523-0430(06-007)[CONN]2.0.CO;2</t>
  </si>
  <si>
    <t>WOS:000257268100004</t>
  </si>
  <si>
    <t>Dolezal, J; Homma, K; Takahashi, K; Vyatkina, MP; Yakubov, V; Vetrova, VP; Hara, T</t>
  </si>
  <si>
    <t>Dolezal, Jiri; Homma, Kosuke; Takahashi, Koichi; Vyatkina, Marina P.; Yakubov, Valentine; Vetrova, Valentina P.; Hara, Toshihiko</t>
  </si>
  <si>
    <t>Primary succession following deglaciation at Koryto Glacier Valley, Kamchatka</t>
  </si>
  <si>
    <t>MOUNT-ST-HELENS; WASHINGTON; VEGETATION; GRADIENTS; FIXATION; BAY</t>
  </si>
  <si>
    <t>We studied the course of primary succession following deglaciation and the convergence/divergence of plant community development with respect to topographic factors at Koryto Glacier Valley on Kamchatka's Pacific coast. Vegetation changes over an similar to 270-yr-old chronosequence were related to concurrent changes in substrate and soil properties. Ordination analyses showed that substrate texture and topography are the most important environmental factors influencing the course of succession. About 25 yrs after surface deglaciation, belowground stagnant ice melts, and moraine consolidation causes the successional communities to diverge. Speciespoor communities, dominated by alder and grasses (Alnus fruticosa, Calamagrostis purpurea), occurred on the fine-grained substrate of moraine crests, while species-rich communities, dominated by legumes and forbs (Oxytropis kanitschatica, Saxifraga species), developed on the coarse-grained substrate of moraine flanks, and in depressions communities dominated by willows and sedges (Salix arctica, Juncus beringensis) developed. In depressions and plains adjacent to the ridges, succession toward Alnus stands is hindered by late-melting snow and flooding. Plant-species richness peaked at the 80-yr-old moraine, but thereafter decreased as the rapid growth of Alnus led to dense stands that dominated resources and inhibited colonization and growth of earlier, as well as later, successional species. Mat-forming capacity, high litter production, an extensive root system, and snow-pressure tolerance enable A. fruticosa to maintain dominance without replacement by Betula ermanii. This potential climax species remains scattered on rock terraces and elevated locations above the valley basin where it escapes snow avalanches and accumulation, a factor responsible for the inversion of vegetation zones in this maritime region.</t>
  </si>
  <si>
    <t>[Dolezal, Jiri] Acad Sci Czech Republ, Inst Bot, Sect Plant Ecol, CZ-37982 Trebon, Czech Republic; [Dolezal, Jiri; Homma, Kosuke; Hara, Toshihiko] Hokkaido Univ, Inst Low Temp Sci, Kita Ku, Sapporo, Hokkaido 0600819, Japan; [Homma, Kosuke] Niigata Univ, Fac Agr, Field Ctr Sustainable Agr &amp; Forestry, Niigata 9522206, Japan; [Takahashi, Koichi] Shinshu Univ, Dept Bot, Fac Sci, Matsumoto, Nagano 3908621, Japan; [Vyatkina, Marina P.; Vetrova, Valentina P.] Russian Acad Sci, Plant Ecol Lab, Kamchatka Branch, Pacific Inst Geog,Far Eastern Branch, Petropavlovsk Kamchatski 683024, Russia; [Yakubov, Valentine] Inst Biol &amp; Soil Sci, Vladivostok 690022, Russia</t>
  </si>
  <si>
    <t>Czech Academy of Sciences; Institute of Botany of the Czech Academy of Sciences; Hokkaido University; Niigata University; Shinshu University; Pacific Geographical Institute of the Far Eastern Branch of the Russian Academy of Sciences; Russian Academy of Sciences; Russian Academy of Sciences; Federal Scientific Center of the East Asia Terrestrial Biodiversity, Far Eastern Branch of the Russian Academy of Sciences</t>
  </si>
  <si>
    <t>Dolezal, J (corresponding author), Acad Sci Czech Republ, Inst Bot, Sect Plant Ecol, Dukelska 135, CZ-37982 Trebon, Czech Republic.</t>
  </si>
  <si>
    <t>jiri.dolezal@bf.jcu.cz</t>
  </si>
  <si>
    <t>Doležal, Jiří/H-1583-2014; Hara, Toshihiko/D-8016-2012</t>
  </si>
  <si>
    <t>Vetrova, Valentina/0000-0003-1628-8443; Dolezal, Jiri/0000-0002-5829-4051</t>
  </si>
  <si>
    <t>10.1657/1523-0430(06-123)[DOLEZAL]2.0.CO;2</t>
  </si>
  <si>
    <t>WOS:000257268100005</t>
  </si>
  <si>
    <t>Duane, WJ; Pepin, NC; Losleben, ML; Hardy, DR</t>
  </si>
  <si>
    <t>Duane, W. J.; Pepin, N. C.; Losleben, M. L.; Hardy, D. R.</t>
  </si>
  <si>
    <t>General characteristics of temperature and humidity variability on Kilimanjaro, Tanzania</t>
  </si>
  <si>
    <t>CLIMATE-CHANGE; SURFACE-TEMPERATURE; FREE-AIR; IMPACT; PRECIPITATION; SLOPES</t>
  </si>
  <si>
    <t>Hourly temperature and humidity observations were obtained over 16 months from loggers ranging in elevation from 1890 to 5800 in a.s.l. up the southwestern slope of Kilimanjaro, Tanzania. The vertical gradient in mean air temperature is non-linear, with the treeline weakening the gradient and the snow-ice line enhancing it. On average, moisture availability (both relative humidity and absolute vapor pressure) decreases with elevation, but the seasonal and diurnal variability in relative humidity (RH) is enhanced toward the mountain summit. The strong diurnal cycle in humidity is shown to be an outcome of strong upslope moisture transport during the day, counterbalanced by downslope transport and drying at night. Cooling on the lower slopes during the months of June and July weakens the lapse rates and consequently convective activity. This is borne out by the reduction in cloud amounts (using a surrogate threshold of RH &gt; 95%), toward the summit during these months. The lower slopes of Kilimanjaro are observed to be a major moisture source for the summit region, and implications of this for the mass balance of the summit glaciers are discussed.</t>
  </si>
  <si>
    <t>[Pepin, N. C.] Univ Portsmouth, Dept Geog, Portsmouth PO1 3HE, Hants, England; [Losleben, M. L.] Natl Coordinating Off, Natl Phenol Network, Tucson, AZ 85719 USA; [Hardy, D. R.] Univ Massachusetts, Climate Syst Res Ctr, Dept Geosci, Amherst, MA 01003 USA</t>
  </si>
  <si>
    <t>University of Portsmouth; University of Massachusetts System; University of Massachusetts Amherst</t>
  </si>
  <si>
    <t>Pepin, NC (corresponding author), Univ Portsmouth, Dept Geog, Lion Terrace, Portsmouth PO1 3HE, Hants, England.</t>
  </si>
  <si>
    <t>nicholas.pepin@port.ac.uk</t>
  </si>
  <si>
    <t>Pepin, Nicholas/0000-0001-6200-4937</t>
  </si>
  <si>
    <t>10.1657/1523-0430(06-127)[DUANE]2.0.CO;2</t>
  </si>
  <si>
    <t>WOS:000257268100006</t>
  </si>
  <si>
    <t>Endo, M; Yamamura, Y; Tanaka, A; Nakano, T; Yasuda, T</t>
  </si>
  <si>
    <t>Endo, Megumi; Yamamura, Yasuo; Tanaka, Atsushi; Nakano, Takashi; Yasuda, Taisuke</t>
  </si>
  <si>
    <t>Nurse-plant effects of a dwarf shrub on the establishment of tree seedlings in a volcanic desert on Mt, Fuji, central Japan</t>
  </si>
  <si>
    <t>CACTUS NEOBUXBAUMIA-TETETZO; PRIMARY SUCCESSION; POSITIVE INTERACTIONS; POLYGONUM-CUSPIDATUM; MIMOSA-LUISANA; EARLY-STAGE; COMMUNITIES; FACILITATION; VEGETATION; ASSOCIATIONS</t>
  </si>
  <si>
    <t>We investigated vegetation structure and microenvironments on bare volcanic soil covered by scoria above the forest limit on Mt. Fuji, central Japan, to evaluate the effects of patches of a pioneer dwarf shrub (Salix reinii) on the establishment of early successional tree seedlings (Larix kaempferi). We analyzed species distribution patterns and the associations among them, and compared the performance (growth and survivorship) of Larix seedlings and the local environment (temperature, solar radiation, soil surface stability, soil moisture, and nitrogen) inside and outside Salix patches. Larix displayed significantly clumped distribution, and the clumping was apparently associated with the preferential occurrence of Larix in Salix patches. Salix patches moderated severe microenvironmental factors, such as drought, high temperature, and movement of the soil surface. Salix patches promoted increased height and decreased root:shoot ratio, but not higher rate of biomass accumulation in Larix seedlings. Survival rate of L. kaenipferi inside Saliv patches was higher than that outside patches at the younger stage, but it was lower at the older stage after L. kaempferi emerged from the Saliv crown. The results indicate S. reinii enhances seedling establishment and survival of young L. kaempferi, but may compete with it at later stages. The overall net effect of Salix patches on L. kaenipferi is positive, and therefore S. reinii appears to accelerate succession from scoria bare land to pioneer woodland.</t>
  </si>
  <si>
    <t>[Endo, Megumi; Yamamura, Yasuo; Tanaka, Atsushi] Ibaraki Univ, Dept Biol Sci, Coll Sci, Mito, Ibaraki 3108512, Japan; [Nakano, Takashi; Yasuda, Taisuke] Yamanashi Inst Environm Sci, Fujiyoshida, Yamanashi 4030005, Japan</t>
  </si>
  <si>
    <t>Ibaraki University</t>
  </si>
  <si>
    <t>Yamamura, Y (corresponding author), Ibaraki Univ, Dept Biol Sci, Coll Sci, Mito, Ibaraki 3108512, Japan.</t>
  </si>
  <si>
    <t>yama@mx.ibaraki.ac.jp; nakano@yies.pref.yamanashi.jp; yasuda@yies.pref.yamanashi.jp</t>
  </si>
  <si>
    <t>10.1657/1523-0430(07-013)[ENDO]2.0.CO;2</t>
  </si>
  <si>
    <t>WOS:000257268100007</t>
  </si>
  <si>
    <t>Hartsough, P; Poulson, SR; Biondi, F; Estrada, IG</t>
  </si>
  <si>
    <t>Hartsough, Peter; Poulson, Simon R.; Biondi, Franco; Estrada, Ignacio Galindo</t>
  </si>
  <si>
    <t>Stable isotope characterization of the ecohydrological cycle at a tropical treeline site</t>
  </si>
  <si>
    <t>NORTH-AMERICAN MONSOON; SEA-SURFACE TEMPERATURES; GULF-OF-CALIFORNIA; SUMMER PRECIPITATION; INTERANNUAL VARIABILITY; LEAF WATER; DRY-MATTER; SOIL-WATER; DE-COLIMA; OXYGEN</t>
  </si>
  <si>
    <t>We investigated the seasonal variation in pools of water available to mature trees growing at high elevation in a tropical environment. The study focused on the dominant tree species (Pinus hartwegii) at about 3800 in a.s.l. on Nevado de Colima, Mexico, where climate is typical of the North American Monsoon System. Stable isotope ratios of hydrogen and oxygen in water extracted from soil, xylem, and leaves were measured through a cycle of two dry and two wet seasons in 2003-2004. Isotopic ratios were also measured in accumulated precipitation, a few single precipitation events, and in spring water over the two-year period. Based on evidence from water, stable isotopes in soil, and xylem samples, trees utilized water from relatively shallow soil depths, which are representative of current conditions, rather than tapping groundwater, which is more representative of long-term trends. While the stable isotope signature in environmental waters showed a slightly different pattern before and during the monsoon, the more pronounced differences in leaf water isotopes between the two seasons, due to drought stress, will lead to a clear seasonal isotopic signal in tree ring cellulose. This study represents a unique snapshot of water cycling in a tropical treeline ecosystem, where our understanding of ecohydrological pathways is limited. This type of analysis is also useful for proper calibration of stable isotopic signals in tree ring records.</t>
  </si>
  <si>
    <t>[Hartsough, Peter; Biondi, Franco] Univ Nevada, Dept Geog, Reno, NV 89557 USA; [Hartsough, Peter; Biondi, Franco] Univ Nevada, Grad Program Hydrol Sci, Reno, NV 89557 USA; [Poulson, Simon R.] Univ Nevada, Nevada Stable Isotope Lab, Dept Geol Sci &amp; Engn, Reno, NV 89557 USA; [Biondi, Franco] Stanford Univ, Sch Earth Sci, Stanford, CA 94305 USA; [Estrada, Ignacio Galindo] Univ Colima, Ctr Univ Invest Ciencias Ambiente, Mexico City, DF, Mexico</t>
  </si>
  <si>
    <t>Nevada System of Higher Education (NSHE); University of Nevada Reno; Nevada System of Higher Education (NSHE); University of Nevada Reno; Nevada System of Higher Education (NSHE); University of Nevada Reno; Stanford University; Universidad de Colima</t>
  </si>
  <si>
    <t>Hartsough, P (corresponding author), Univ Nevada, Dept Geog, MS 154, Reno, NV 89557 USA.</t>
  </si>
  <si>
    <t>phartsou@scsr.nevada.edu</t>
  </si>
  <si>
    <t>Hartsough, Peter C./B-6104-2008; Biondi, Franco/G-2536-2010</t>
  </si>
  <si>
    <t>Biondi, Franco/0000-0003-0651-104X; Hartsough, Peter/0000-0001-7888-8028</t>
  </si>
  <si>
    <t>10.1657/1523-0430(06-117)[HARTSOUGH]2.0.CO;2</t>
  </si>
  <si>
    <t>WOS:000257268100008</t>
  </si>
  <si>
    <t>Hoham, RW; Frey, FM; Mohn, WW; Felio, JH; Todd, S; Duncan, JE; Banghart, JB</t>
  </si>
  <si>
    <t>Hoham, Ronald W.; Frey, Frank M.; Mohn, William W.; Felio, Joy H.; Todd, Sarah; Duncan, Jared E.; Banghart, James B.</t>
  </si>
  <si>
    <t>Optimum growth temperatures of three species of green Chloromonas snow algae from Upstate New York and the White Mountains, Arizona</t>
  </si>
  <si>
    <t>CHLAMYDOMONAS-NIVALIS; WINDMILL ISLANDS; SP-NOV; SP.-D; CHLOROPHYCEAE; ANTARCTICA; VOLVOCALES; LIGHT; CRYOPRESERVATION; CHENANGOENSIS</t>
  </si>
  <si>
    <t>The optimum temperatures of three species of snow algae were studied using four strains of Chloromonas (Cr.) rosae v. psychrophila, six strains of Cr. tughillensis, and one strain of Cr. chenangoensis. These axenic strains were from Upstate New York except for two of Cr. rosae v. psychrophila from the White Mountains, Arizona. Temperatures tested were from 2.5 to 20 degrees C. The high elevation subalpine Cr. rosae v. psychrophila from New York and Arizona grew from 4 to 20 degrees C and had the greatest cell counts at 4 to 15 degrees C. In contrast, the subalpine to temperate low elevation strains of Cr. tughillensis grew from 2.5 to 10 degrees C and optimally at 2.5 or 5 degrees C, and Cr. chenangoensis grew from 2.5 to 7.5 degrees C and optimally at 2.5 and 5 degrees C. Chloromonas tughillensis and Cr. chenangoensis belong to a genetic subclade with low temperature optima, whereas Cr. rosae v. psychrophila belongs to a subclade with broad temperature optima. In acclimation experiments, there were no significant differences in cell counts when acclimating two Adirondack, New York, strains of Cr. rosae v. psychrophila for two weeks prior to experiments vs. using non-acclimated strains that were moved from 4 degrees C directly to 4, 10, 15, or 20 degrees C. For Cr. tughillensis, four of six strains had significantly higher cell counts when grown at 2.5 degrees C after acclimation at 7.5 degrees C for five months. These are the first reports of temperature optima of snow algae from eastern North America.</t>
  </si>
  <si>
    <t>[Hoham, Ronald W.; Frey, Frank M.; Felio, Joy H.; Todd, Sarah; Duncan, Jared E.; Banghart, James B.] Colgate Univ, Dept Biol, Hamilton, NY 13346 USA; [Mohn, William W.] Univ British Columbia, Dept Microbiol &amp; Immunol, Vancouver, BC V6T 1Z3, Canada</t>
  </si>
  <si>
    <t>Colgate University; University of British Columbia</t>
  </si>
  <si>
    <t>Hoham, RW (corresponding author), Colgate Univ, Dept Biol, Hamilton, NY 13346 USA.</t>
  </si>
  <si>
    <t>rhoham@mail.colgate.edu</t>
  </si>
  <si>
    <t>10.1657/1523-0430(07-038)[HOHAM]2.0.CO;2</t>
  </si>
  <si>
    <t>WOS:000257268100009</t>
  </si>
  <si>
    <t>Keatley, BE; Douglas, MSV; Smol, JP</t>
  </si>
  <si>
    <t>Keatley, Bronwyn E.; Douglas, Marianne S. V.; Smol, John P.</t>
  </si>
  <si>
    <t>Prolonged ice cover dampens diatom community responses to recent climatic change in High Arctic lakes</t>
  </si>
  <si>
    <t>RECENT ENVIRONMENTAL-CHANGES; NORTHERN ELLESMERE-ISLAND; PALEOLIMNOLOGICAL EVIDENCE; WEST GREENLAND; SEDIMENTS; NUNAVUT; DEPOSITION; RECORD; CANADA; ASSEMBLAGES</t>
  </si>
  <si>
    <t>Numerous palcolimnological studies of Arctic lakes and ponds have shown marked shifts in both algal and invertebrate taxa within the past similar to 150 years that are consistent with recent climatic warming. However, the magnitude and timing of changes are often non-uniform, with large, deep lakes frequently exhibiting muted assemblage shifts relative to smaller ponds. The hypothesis that duration and extent of ice cover exerts an overriding influence on habitat availability for biota has been commonly invoked to explain these differences, and many studies indicate that changes in ice cover are important drivers of recent biological changes. However, a detailed paleolimnological comparison of two lakes from the same region that have similar water chemistry but different ice cover regimes has not yet been attempted. Here we examine the influence of prolonged ice cover on the rate, magnitude, and direction of fossil diatom species shifts over time in two remarkably similar and adjacent Ellesmere Island lakes that mainly differ in their periods of ice cover. These two lakes exhibit strikingly different paleolimnological diatom profiles, despite their physical proximity, similar depths, and nearly identical water chemistry. In the lake characterized by prolonged ice cover, we find little evidence of diatom-inferred environmental change over its recent history, while diatom assemblages have undergone dramatic changes in the lake with the shorter duration of ice cover. This study supports the general hypothesis that changes in ice cover are a principle determinant of shifting diatom assemblages in High Arctic lakes.</t>
  </si>
  <si>
    <t>[Keatley, Bronwyn E.; Smol, John P.] Queens Univ, Dept Biol, Paleoecol Environm Assessment &amp; Res Lab PEARL, Kingston, ON K7L 3N6, Canada; [Douglas, Marianne S. V.] Univ Toronto, Dept Geol, PAL, Toronto, ON M5S 3B1, Canada</t>
  </si>
  <si>
    <t>Queens University - Canada; University of Toronto</t>
  </si>
  <si>
    <t>Smol, JP (corresponding author), Queens Univ, Dept Biol, Paleoecol Environm Assessment &amp; Res Lab PEARL, Kingston, ON K7L 3N6, Canada.</t>
  </si>
  <si>
    <t>bronwyn.keatley@mail.mcgill.ca; marianne.douglas@ualberta.ca; smolj@queensu.ca</t>
  </si>
  <si>
    <t>Smol, John P/A-8838-2015</t>
  </si>
  <si>
    <t>Smol, John/0000-0002-2499-6696</t>
  </si>
  <si>
    <t>10.1657/1523-0430(06-068)[KEATLEY]2.0.CO;2</t>
  </si>
  <si>
    <t>Bronze, Green Submitted</t>
  </si>
  <si>
    <t>WOS:000257268100010</t>
  </si>
  <si>
    <t>Löffler, J; Pape, R</t>
  </si>
  <si>
    <t>Loeffler, Joerg; Pape, Roland</t>
  </si>
  <si>
    <t>Diversity patterns in relation to the environment in alpine tundra ecosystems of northern Norway</t>
  </si>
  <si>
    <t>PLANT-SPECIES RICHNESS; VASCULAR PLANTS; ARCTIC TUNDRA; VEGETATION; LANDSCAPE; REINDEER; CLIMATE; BIODIVERSITY; GRADIENT; REGIONS</t>
  </si>
  <si>
    <t>We analyzed diversity patterns of alpine tundra ecosystems along environmental gradients. We hypothesized that alpine diversity is affected by climate at local and regional scales, nutrient availability, soil moisture, and disturbance related to herbivory. In all, 232 samples in 11 study areas in Troms and Finnmark counties were analyzed with regard to alpha- and beta-diversity of vascular plants and lichens. Relationships between a-diversity and environmental variables were analyzed by regression trees. beta-diversity defined as species turnover was investigated using indirect ordination methods. Sites with non-acidic soil parent material showed highest species densities. Lowest species numbers were typical for extreme topographic positions. Heavily grazed samples showed less species numbers and coverage percentage of vegetation. The number of graminoid species was found to be highest in areas of high grazing pressure. We concluded that alpha-diversity was controlled by growing season, snow cover, pH, soil moisture, disturbance, temperature, and precipitation, stressing the importance of multi-factorial approaches in diversity studies. Determinants of P-diversity were predominantly local environmental conditions, whereas regional conditions were less important.</t>
  </si>
  <si>
    <t>[Loeffler, Joerg; Pape, Roland] Univ Bonn, Dept Geog, D-53115 Bonn, Germany</t>
  </si>
  <si>
    <t>University of Bonn</t>
  </si>
  <si>
    <t>Löffler, J (corresponding author), Univ Bonn, Dept Geog, Meckenheimer Allee 166, D-53115 Bonn, Germany.</t>
  </si>
  <si>
    <t>joerg.loeffler@uni-bonn.de; pape@giub.uni-bonn.de</t>
  </si>
  <si>
    <t>Pape, Roland/L-6753-2019; Löffler, Jörg/ITU-3817-2023</t>
  </si>
  <si>
    <t>Loffler, Jorg/0000-0002-9320-6168</t>
  </si>
  <si>
    <t>10.1657/1523-0430(06-097)[LOEFFLER]2.0.CO;2</t>
  </si>
  <si>
    <t>WOS:000257268100011</t>
  </si>
  <si>
    <t>Moen, J; Lagerström, A</t>
  </si>
  <si>
    <t>Moen, Jon; Lagerstroem, Anna</t>
  </si>
  <si>
    <t>High species turnover and decreasing plant species richness on mountain summits in Sweden:: Reindeer grazing overrides climate change?</t>
  </si>
  <si>
    <t>OXYRIA-DIGYNA; IMPACTS; RECREATION; GERMINATION; COMMUNITIES; PATTERNS</t>
  </si>
  <si>
    <t>We investigated changes in vascular plant species richness in nine summit floras in the central part of the Fennoscandian mountain range compared to historical data from 1950. We revisited the summits (defined as the top 50 altitudinal meters of each mountain) in 2002, and recorded all species. The changes in species richness were tested against both species and mountain characteristics. Species richness had declined on eight of the nine summits. Five of the species were new since the 1950s, while 17 species were lost from the summits. However, species turnover was even higher: 57 of our recorded species occurrences had established on at least one mountain since the 1950s, while we could not find 132 of the recorded occurrences in 1950 on one or more mountains. Temperature had increased since 1950 by about 1 degrees C and precipitation by 12%. The reindeer population has more than doubled. No correlations between plant responses, plant characteristics, and mountain characteristics were found, suggesting individualistic and mountain-specific responses. We conclude that climate changes may be responsible for an increased establishment and reindeer trampling for increased mortality of established individuals. However, the net result is a decline in species richness.</t>
  </si>
  <si>
    <t>[Moen, Jon] Umea Univ, Dept Ecol &amp; Environm Sci, SE-90187 Umea, Sweden; [Lagerstroem, Anna] Swedish Univ Agr Sci, Dept Forest Ecol &amp; Management, SE-90183 Umea, Sweden</t>
  </si>
  <si>
    <t>Umea University; Swedish University of Agricultural Sciences</t>
  </si>
  <si>
    <t>Moen, J (corresponding author), Umea Univ, Dept Ecol &amp; Environm Sci, SE-90187 Umea, Sweden.</t>
  </si>
  <si>
    <t>jon.moen@emg.umu.se; anna.lagerstrom@svek.slu.se</t>
  </si>
  <si>
    <t>10.1657/1523-0430(07-031)[MOEN]2.0.CO;2</t>
  </si>
  <si>
    <t>WOS:000257268100012</t>
  </si>
  <si>
    <t>Muhs, DR; Ager, TA; Skipp, G; Beann, J; Budahn, J; McGeehin, JP</t>
  </si>
  <si>
    <t>Muhs, Daniel R.; Ager, Thomas A.; Skipp, Gary; Beann, Jossh; Budahn, James; McGeehin, John P.</t>
  </si>
  <si>
    <t>Paleoclimatic significance of chemical weathering in loess-derived paleosols of subarctic central Alaska</t>
  </si>
  <si>
    <t>INTERGLACIAL-GLACIAL CYCLE; LATE QUATERNARY LOESS; YUKON-TERRITORY; SOIL-DEVELOPMENT; MAMMOTH-STEPPE; PLEISTOCENE LOESS; SEWARD PENINSULA; BRACKETING LOESS; NORTHWEST ALASKA; YR BP</t>
  </si>
  <si>
    <t>Chemical weathering in soils has not been studied extensively in high-latitude regions. Loess sequences with modern soils and paleosols are present in much of subarctic Alaska, and allow an assessment of present and past chemical weathering. Five sections were studied in detail in the Fairbanks, Alaska, area. Paleosols likely date to mid-Pleistocene interglacials, the last interglacial, and early-to-mid-Wisconsin interstadials. Ratios of mobile (Na, Ca, Mg, Si) to immobile (Ti or Zr) elements indicate that modern soils and most interstadial and interglacial paleosols are characterized by significant chemical weathering. Na(2)O/TiO(2) is lower in modern soils and most paleosols compared to parent loess, indicating depletion of plagioclase. In the clay fraction, smectite is present in Tanana and Yukon River source sediments, but is absent or poorly expressed in modern soils and paleosols, indicating depletion of this mineral also. Loss of both plagioclase and smectite is well expressed in soils and paleosols as lower SiO(2)/TiO(2). Carbonates are present in the river source sediments, but based on CaO/TiO(2), they are depleted in soils and most palcosols (with one exception in the early-to-mid-Wisconsin period). Thus, most soil-forming intervals during past interglacial and interstadial periods in Alaska had climatic regimes that were at least as favorable to mineral weathering as today, and suggest boreal forest or acidic tundra vegetation.</t>
  </si>
  <si>
    <t>[Muhs, Daniel R.; Ager, Thomas A.; Skipp, Gary; Beann, Jossh] US Geol Survey, Fed Ctr, Denver, CO 80225 USA; [McGeehin, John P.] US Geol Survey, Natl Ctr, Reston, VA USA</t>
  </si>
  <si>
    <t>United States Department of the Interior; United States Geological Survey; United States Department of the Interior; United States Geological Survey</t>
  </si>
  <si>
    <t>Muhs, DR (corresponding author), US Geol Survey, Fed Ctr, MS 980,Box 25046, Denver, CO 80225 USA.</t>
  </si>
  <si>
    <t>dmuhs@usgs.gov</t>
  </si>
  <si>
    <t>10.1657/1523-0430(07-022)[MUHS]2.0.CO;2</t>
  </si>
  <si>
    <t>WOS:000257268100013</t>
  </si>
  <si>
    <t>Orradottir, B; Archer, SR; Arnalds, O; Wilding, LP; Thurow, TL</t>
  </si>
  <si>
    <t>Orradottir, B.; Archer, S. R.; Arnalds, O.; Wilding, L. P.; Thurow, T. L.</t>
  </si>
  <si>
    <t>Infiltration in Icelandic Andisols: The role of vegetation and soil frost</t>
  </si>
  <si>
    <t>FROZEN SOIL; RUNOFF; EROSION; SNOW; MOVEMENT; PARAMO; FLOW</t>
  </si>
  <si>
    <t>Soil frost formation, snow distribution, and winter/spring/summer terminal infiltration rates (TIRs) were quantified in Icelandic Andisols with contrasting vegetation cover types (grassland, spruce and birch woodland, lupine, and sparsely vegetated lava site). TIRs (min h(-1); determined with double-ring infiltrometers) were generally higher in unfrozen than in frozen soils (102-369 vs. 9-306, respectively in sandy soils; 28-94 vs. 3-72 in finer-textured soils) and differed between land cover types, being consistently highest in birch woodlands. TIR was an inverse function of soil frost depth. Lowest TIRs were associated with deep and dense soil frost, which formed in spruce woodland and grassland communities where snow depth was shallow. Results suggest conditions conducive to erosion by water are most likely to occur during winter warm spells and in spring in vegetation types where snow cover is low or ephemeral. Threefold increases in TIRs occurred one year after livestock grazing was discontinued, suggesting Andisols are hydrologically resilient where vegetation cover is relatively continuous and soil organic carbon content is high.</t>
  </si>
  <si>
    <t>[Orradottir, B.] Texas A&amp;M Univ, Dept Rangeland Ecol &amp; Management, College Stn, TX 77843 USA; [Archer, S. R.] Univ Arizona, Sch Nat Resources, Tucson, AZ 85721 USA; [Orradottir, B.; Arnalds, O.] Agr Univ Iceland, IS-112 Keldnaholt, Revkiavik, Iceland; [Wilding, L. P.] Texas A&amp;M Univ, Dept Soil &amp; Crop Sci, College Stn, TX 77843 USA; [Thurow, T. L.] Univ Wyoming, Dept Renewable Resources, Laramie, WY 82071 USA</t>
  </si>
  <si>
    <t>Texas A&amp;M University System; Texas A&amp;M University College Station; University of Arizona; Texas A&amp;M University System; Texas A&amp;M University College Station; University of Wyoming</t>
  </si>
  <si>
    <t>Orradottir, B (corresponding author), Agr Univ Iceland, IS-112 Keldnaholt, Revkiavik, Iceland.</t>
  </si>
  <si>
    <t>berglind@lbhi.is</t>
  </si>
  <si>
    <t>10.1657/1523-0430(06-076)[ORRADOTTIR]2.0.CO;2</t>
  </si>
  <si>
    <t>WOS:000257268100014</t>
  </si>
  <si>
    <t>Susiluoto, S; Rasilo, T; Pumpanen, J; Berninger, F</t>
  </si>
  <si>
    <t>Susiluoto, Sanna; Rasilo, Terhi; Pumpanen, Jukka; Berninger, Frank</t>
  </si>
  <si>
    <t>Effects of grazing on the vegetation structure and carbon dioxide exchange of a fennoscandian fell ecosystem</t>
  </si>
  <si>
    <t>SOIL; REINDEER; FOREST; LICHENS; TUNDRA; CO2; PRODUCTIVITY; TEMPERATURE; SUMMER; RESPIRATION</t>
  </si>
  <si>
    <t>We used the chamber method to measure growing season ecosystem carbon exchange and ecosystem respiration in Finnish 2 alpine tundra. The average ecosystem respiration in the sites was 0.8-0.9 mu mol m(-2) s(-1) and the daytime net ecosystem exchange (NEE) was around -0.4 to -0.5 mu mol m(-2) s(-1). There were no detectable differences in cuvette-based net ecosystem exchange or ecosystem respiration between grazed fell areas and long term reindeer exclosure. Further analysis showed that net carbon exchange as well as ecosystem respiration were significantly correlated with the dwarf shrub cover, while the proportion of lichen cover (Cladina sp.) was not correlated with ecosystem carbon exchange. Clipping experiments showed that about half of the measured ecosystem respiration was heterotrophic. Plots that had been protected from reindeer grazing had almost two times higher above-ground plant biomass than grazed plots. The reason for this was 86% lower lichen biomass on the grazed side of the fell, while the biomass of Ericaceous dwarf shrubs did not differ even though there were changes in species composition. Surprisingly, the proportion of bare ground did not differ due to grazing pressure, but the reduction in biomass lead to a less stratified vegetation cover.</t>
  </si>
  <si>
    <t>[Susiluoto, Sanna; Rasilo, Terhi; Pumpanen, Jukka; Berninger, Frank] Univ Helsinki, Dept Forest Ecol, FIN-00014 Helsinki, Finland; [Berninger, Frank] Univ Quebec, Dept Sci Biol, Montreal, PQ H3C 3P8, Canada</t>
  </si>
  <si>
    <t>University of Helsinki; University of Quebec; University of Quebec Montreal</t>
  </si>
  <si>
    <t>Susiluoto, S (corresponding author), Univ Helsinki, Dept Forest Ecol, POB 27, FIN-00014 Helsinki, Finland.</t>
  </si>
  <si>
    <t>Sannamaija.Susiluoto@Helsinki.fi</t>
  </si>
  <si>
    <t>Pumpanen, Jukka/B-1254-2012; Rasilo, Terhi/Q-8248-2016; Berninger, Frank/A-8891-2010</t>
  </si>
  <si>
    <t>Pumpanen, Jukka/0000-0003-4879-3663; Rasilo, Terhi/0000-0002-3502-4040; Berninger, Frank/0000-0001-7718-1661</t>
  </si>
  <si>
    <t>10.1657/1523-0430(07-035)[SUSILUOTO]2.0.CO;2</t>
  </si>
  <si>
    <t>WOS:000257268100015</t>
  </si>
  <si>
    <t>van den Broeke, M</t>
  </si>
  <si>
    <t>van den Broeke, Michiel</t>
  </si>
  <si>
    <t>Depth and density of the Antarctic firn layer</t>
  </si>
  <si>
    <t>SURFACE WIND-FIELD; DENSIFICATION; ICE; PRESSURE; MODEL</t>
  </si>
  <si>
    <t>The depth and density of the Antarctic firn layer is modeled, using a combination of regional climate model output and a steady-state firn densification model. The modeled near-surface climate (temperature, wind speed, and accumulation) and the depth of two critical density levels (550 kg m(-3) and 830 kg m(-3)) agree well with climate and firn density observations selected from &gt;50 Antarctic coring sites (r = 0.90-0.99, p &lt; 0.0001). The wide range of near-surface climate conditions in Antarctica forces a strong spatial variability in the depth and density of the Antarctic firn pack. In the calm, dry, and very cold interior, densification is slow and the firn-layer thickness exceeds 100 in and the firn age at pore close-off 2000 years. In the windier, wetter, and milder coastal zone, densification is more rapid and the firn layer shallower, typically 40-60 m, and younger, typically &lt;50 years.</t>
  </si>
  <si>
    <t>Univ Utrecht, Inst Marine &amp; Atmospher Res IMAU, NL-3584 CC Utrecht, Netherlands</t>
  </si>
  <si>
    <t>Utrecht University</t>
  </si>
  <si>
    <t>van den Broeke, M (corresponding author), Univ Utrecht, Inst Marine &amp; Atmospher Res IMAU, Princetonpl 5, NL-3584 CC Utrecht, Netherlands.</t>
  </si>
  <si>
    <t>broeke@phys.uu.nl</t>
  </si>
  <si>
    <t>Van den Broeke, Michiel R./F-7867-2011</t>
  </si>
  <si>
    <t>Van den Broeke, Michiel R./0000-0003-4662-7565</t>
  </si>
  <si>
    <t>10.1657/1523-0430(07-021)[BROEKE]2.0.CO;2</t>
  </si>
  <si>
    <t>WOS:000257268100016</t>
  </si>
  <si>
    <t>Wieser, G; Hammerle, A; Wohlfahrt, G</t>
  </si>
  <si>
    <t>Wieser, Gerhard; Hammerle, Albin; Wohlfahrt, Georg</t>
  </si>
  <si>
    <t>The water balance of grassland ecosystems in the Austrian Alps</t>
  </si>
  <si>
    <t>MOUNTAIN MEADOW CANOPY; ENERGY-BALANCE; EVAPOTRANSPIRATION; FLUXES; HEAT; CO2</t>
  </si>
  <si>
    <t>The altitudinal variation of precipitation, evapotranspiration, and runoff was quantified at 16 different grassland sites between 580 and 2550 in a.s.l. in the Austrian Alps. Along this altitudinal transect annual evapotranspiration decreased from roughly 690 mm at low elevation sites to 210-220 mm at the upper limit of the alpine grassland belt. A detailed analysis of the data showed that the observed reduction in the annual sum of evapotranspiration could be mainly explained by the altitudinal decline of the length of the snow-free period (i.e. the vegetation period). Daily mean sums of evapotranspiration showed no altitudinal trend and averaged 2.2 mm d(-1) independent of elevation, although the leaf area index, growing season mean air temperature, and vapor pressure deficit declined with increasing altitude. As precipitation increased with elevation, evapotranspiration seems to be of secondary importance when compared to runoff. Inter-annual variability of evapotranspiration was fairly low across contrasting dry and wet years (coefficient of variation = 7%), indicating that even during dry years water availability was not limiting evapotranspiration.</t>
  </si>
  <si>
    <t>[Wieser, Gerhard] Fed Res &amp; Training Ctr Forests Nat Hazards &amp; Land, Dept Alpine Timberline Ecophysiol, A-6020 Innsbruck, Austria; [Hammerle, Albin; Wohlfahrt, Georg] Univ Innsbruck, Inst Ecol, A-6020 Innsbruck, Austria</t>
  </si>
  <si>
    <t>University of Innsbruck</t>
  </si>
  <si>
    <t>Wieser, G (corresponding author), Fed Res &amp; Training Ctr Forests Nat Hazards &amp; Land, Dept Alpine Timberline Ecophysiol, Rennweg 1, A-6020 Innsbruck, Austria.</t>
  </si>
  <si>
    <t>Gerhard.Wieser@uibk.ac.at</t>
  </si>
  <si>
    <t>Wohlfahrt, Georg/D-2409-2009; Hammerle, Albin/N-4345-2016</t>
  </si>
  <si>
    <t>Wohlfahrt, Georg/0000-0003-3080-6702; Hammerle, Albin/0000-0003-1963-5906</t>
  </si>
  <si>
    <t>Austrian Science Fund FWF [P 17560] Funding Source: Medline</t>
  </si>
  <si>
    <t>Austrian Science Fund FWF(Austrian Science Fund (FWF))</t>
  </si>
  <si>
    <t>10.1657/1523-0430(07-039)[WIESER]2.0.CO;2</t>
  </si>
  <si>
    <t>WOS:000257268100017</t>
  </si>
  <si>
    <t>Cocking, LJ; Double, MC; Milburn, PJ; Brando, VE</t>
  </si>
  <si>
    <t>Cocking, Lisa J.; Double, Michael C.; Milburn, Peter J.; Brando, Vittorio E.</t>
  </si>
  <si>
    <t>Seabird bycatch mitigation and blue-dyed bait: A spectral and experimental assessment</t>
  </si>
  <si>
    <t>BIOLOGICAL CONSERVATION</t>
  </si>
  <si>
    <t>longline fishing; pelagic crypsis; albatrosses; petrels; shearwaters</t>
  </si>
  <si>
    <t>LONG-LINERS; BY-CATCH; MORTALITY; COLOR; LIGHT; SENSITIVITIES; CONSERVATION; ALBATROSSES; ULTRAVIOLET; NEOPHOBIA</t>
  </si>
  <si>
    <t>The application of blue-dye to fishing baits is a seabird bycatch mitigation technique used in some pelagic longline fisheries that is thought to make the baits less visible and hence less attractive to seabirds. We tested this assumption in two ways. First, by measuring the spectral profiles of blue-dyed baits (fish and squid) and modelling the spectral profiles of the ocean under set conditions, we assessed how well wedge-tailed shearwaters (Puffinus pacificus) can distinguish dyed baits based on the known visual characteristics of this species. Results showed that no baits were perfectly cryptic against the background ocean, and only blue-dyed squid were relatively cryptic both in terms of chromatic and achromatic contrasts. Second, during at-sea trials blue-dyed and non-dyed baits that were simultaneously presented submerged on a longline or as surface presentations. During 26 longline sets which presented squid only, a 68% reduction in interactions with blue-dyed squid was observed compared to non-dyed squid. During surface presentations only 3-8% of blue-dyed squid baits were struck over the duration of the study compared with 75-98% of non-dyed squid bait. When using fish baits, however, approximately 48% of all blue-dyed baits presented in the first two days of trials received strikes from seabirds but this increased to 90% over the last three days. These results suggest the use of blue-dyed squid bait could decrease seabird bycatch in pelagic longline fisheries whereas blue-dyed fish baits are less likely to have a mitigatory effect. (C) 2008 Elsevier Ltd. All rights reserved.</t>
  </si>
  <si>
    <t>[Double, Michael C.] Australian Antarctic Div, Kingston, Tas 7050, Australia; [Cocking, Lisa J.; Double, Michael C.] Australian Natl Univ, Sch Bot &amp; Zool, Canberra, ACT 0200, Australia; [Brando, Vittorio E.] CSIRO Land &amp; Water, Canberra, ACT 2601, Australia; [Cocking, Lisa J.] Australian Fisheries Management Authority, Canberra, ACT 2610, Australia</t>
  </si>
  <si>
    <t>Australian Antarctic Division; Australian National University; Commonwealth Scientific &amp; Industrial Research Organisation (CSIRO); CSIRO Land &amp; Water</t>
  </si>
  <si>
    <t>Double, MC (corresponding author), Australian Antarctic Div, 203 Channel Highway, Kingston, Tas 7050, Australia.</t>
  </si>
  <si>
    <t>Lisa.Cocking@afma.gov.au; Mike.Double@aad.gov.au; Peter.Milburn@anu.edu.au; Vittorio.Brando@csiro.au</t>
  </si>
  <si>
    <t>Fennell, Hannah/AAI-1408-2019; Brando, Vittorio/A-1321-2008</t>
  </si>
  <si>
    <t>Brando, Vittorio/0000-0002-2193-5695</t>
  </si>
  <si>
    <t>ELSEVIER SCI LTD</t>
  </si>
  <si>
    <t>THE BOULEVARD, LANGFORD LANE, KIDLINGTON, OXFORD OX5 1GB, OXON, ENGLAND</t>
  </si>
  <si>
    <t>0006-3207</t>
  </si>
  <si>
    <t>1873-2917</t>
  </si>
  <si>
    <t>BIOL CONSERV</t>
  </si>
  <si>
    <t>Biol. Conserv.</t>
  </si>
  <si>
    <t>10.1016/j.biocon.2008.03.003</t>
  </si>
  <si>
    <t>Biodiversity Conservation; Ecology; Environmental Sciences</t>
  </si>
  <si>
    <t>317GQ</t>
  </si>
  <si>
    <t>WOS:000257008400018</t>
  </si>
  <si>
    <t>Convey, P; Gibson, JAE; Hillenbrand, CD; Hodgson, DA; Pugh, PJA; Smellie, JL; Stevens, MI</t>
  </si>
  <si>
    <t>Convey, Peter; Gibson, John A. E.; Hillenbrand, Claus-Dieter; Hodgson, Dominic A.; Pugh, Philip J. A.; Smellie, John L.; Stevens, Mark I.</t>
  </si>
  <si>
    <t>Antarctic terrestrial life - challenging the history of the frozen continent?</t>
  </si>
  <si>
    <t>BIOLOGICAL REVIEWS</t>
  </si>
  <si>
    <t>Antarctic glacial history; biogeography; endemism; isolation; molecular phylogeny; nunatak; phylogeography; refugia</t>
  </si>
  <si>
    <t>LAST GLACIAL MAXIMUM; SPRINGTAIL GOMPHIOCEPHALUS-HODGSONI; LAKE-SEDIMENT RECORDS; EAST ANTARCTICA; ICE-SHEET; VICTORIA LAND; PENINSULA REGION; LARSEMANN HILLS; SOUTHERN-HEMISPHERE; LATE PLEISTOCENE</t>
  </si>
  <si>
    <t>Antarctica is a continent locked in ice, with almost 99.7% of current terrain covered by permanent ice and snow, and clear evidence that, as recently as the Last Glacial Maximum (LGM), ice sheets were both thicker and much more extensive than they are now. Ice sheet modelling of both the LGM and estimated previous ice maxima across the continent give broad support to the concept that most if not all currently ice-free ground would have been overridden during previous glaciations. This has given rise to a widely held perception that all Mesozoic (pre-glacial) terrestrial life of Antarctica was wiped out by successive and deepening glacial events. The implicit conclusion of such destruction is that most, possibly all, contemporary terrestrial life has colonised the continent during subsequent periods of glacial retreat. However, several recently emerged and complementary strands of biological and geological research cannot be reconciled comfortably with the current reconstruction of Antarctic glacial history, and therefore provide a fundamental challenge to the existing paradigms. Here, we summarise and synthesise evidence across these lines of research. The emerging fundamental insights corroborate substantial elements of the contemporary Antarctic terrestrial biota being continuously isolated in situ on a multi-million year, even pre-Gondwana break-up timescale. This new and complex terrestrial Antarctic biogeography parallels recent work suggesting greater regionalisation and evolutionary isolation than previously suspected in the circum-Antarctic marine fauna. These findings both require the adoption of a new biological paradigm within Antarctica and challenge current understanding of Antarctic glacial history. This has major implications for our understanding of the key role of Antarctica in the Earth System.</t>
  </si>
  <si>
    <t>[Convey, Peter; Hillenbrand, Claus-Dieter; Hodgson, Dominic A.; Smellie, John L.] British Antarctic Survey, Nat Environm Res Council, Cambridge CB3 0ET, England; [Gibson, John A. E.] Univ Tasmania, Tasmanian Aquaculture &amp; Fisheries Inst, Hobart, Tas 7001, Australia; [Pugh, Philip J. A.] Anglia Ruskin Univ, Dept Life Sci, Cambridge CB1 1PT, England; [Stevens, Mark I.] Massey Univ, Allan Wilson Ctr Mol Ecol &amp; Evolut, Palmerston North, New Zealand; [Stevens, Mark I.] Monash Univ, Sch Biol Sci, Clayton, Vic 3800, Australia</t>
  </si>
  <si>
    <t>UK Research &amp; Innovation (UKRI); Natural Environment Research Council (NERC); NERC British Antarctic Survey; University of Tasmania; Anglia Ruskin University; Massey University; Monash University</t>
  </si>
  <si>
    <t>Convey, P (corresponding author), British Antarctic Survey, Nat Environm Res Council, High Cross,Madingley Rd, Cambridge CB3 0ET, England.</t>
  </si>
  <si>
    <t>p.convey@bas.ac.uk</t>
  </si>
  <si>
    <t>Convey, Peter/AAV-5728-2020</t>
  </si>
  <si>
    <t>Convey, Peter/0000-0001-8497-9903</t>
  </si>
  <si>
    <t>Natural Environment Research Council [bas010015, bas010019, bas010016, bas010018] Funding Source: researchfish; NERC [bas010015, bas010019, bas010016, bas010018] Funding Source: UKRI</t>
  </si>
  <si>
    <t>1464-7931</t>
  </si>
  <si>
    <t>1469-185X</t>
  </si>
  <si>
    <t>BIOL REV</t>
  </si>
  <si>
    <t>Biol. Rev.</t>
  </si>
  <si>
    <t>10.1111/j.1469-185X.2008.00034.x</t>
  </si>
  <si>
    <t>291QI</t>
  </si>
  <si>
    <t>WOS:000255211500001</t>
  </si>
  <si>
    <t>Song, J; Song, JB</t>
  </si>
  <si>
    <t>Song Jun; Song Jin-Bao</t>
  </si>
  <si>
    <t>Effects of buoyancy on Langmuir circulation</t>
  </si>
  <si>
    <t>CHINESE PHYSICS LETTERS</t>
  </si>
  <si>
    <t>DRIFT CURRENTS; WATER</t>
  </si>
  <si>
    <t>Based on the Navier-Stokes equation, an equation describing the Langmuir circulation is derived by a perturbation method when the influences of Coriolis force and buoyancy force are both considered. The approach used in the analysis is similar to the works carried out by Craik and Leibovich [J. Fluid Mech. 73 (1976) 401], Leibovich [J. Fluid Mech. 79 (1977) 715] and Huang [J. Fluid Mech. 91 (1979) 191]. Potential applications of the equation proposed are discussed in the area of Antarctic circumpolar current.</t>
  </si>
  <si>
    <t>[Song Jun; Song Jin-Bao] Chinese Acad Sci, Inst Oceanol, Qingdao 266071, Peoples R China; [Song Jun] Chinese Acad Sci, Grad Sch, Beijing 100049, Peoples R China</t>
  </si>
  <si>
    <t>Chinese Academy of Sciences; Institute of Oceanology, CAS; Chinese Academy of Sciences; University of Chinese Academy of Sciences, CAS</t>
  </si>
  <si>
    <t>Song, JB (corresponding author), Chinese Acad Sci, Inst Oceanol, Qingdao 266071, Peoples R China.</t>
  </si>
  <si>
    <t>songjb@ms.qdio.ac.cn</t>
  </si>
  <si>
    <t>Song, Jin/HHS-8731-2022</t>
  </si>
  <si>
    <t>IOP PUBLISHING LTD</t>
  </si>
  <si>
    <t>BRISTOL</t>
  </si>
  <si>
    <t>TEMPLE CIRCUS, TEMPLE WAY, BRISTOL BS1 6BE, ENGLAND</t>
  </si>
  <si>
    <t>0256-307X</t>
  </si>
  <si>
    <t>1741-3540</t>
  </si>
  <si>
    <t>CHINESE PHYS LETT</t>
  </si>
  <si>
    <t>Chin. Phys. Lett.</t>
  </si>
  <si>
    <t>Physics, Multidisciplinary</t>
  </si>
  <si>
    <t>Physics</t>
  </si>
  <si>
    <t>306KZ</t>
  </si>
  <si>
    <t>WOS:000256248300060</t>
  </si>
  <si>
    <t>Kharitonov, VV</t>
  </si>
  <si>
    <t>Kharitonov, Victor V.</t>
  </si>
  <si>
    <t>Internal structure of ice ridges and stamukhas based on thermal drilling data</t>
  </si>
  <si>
    <t>ice ridge; stamukha; thermal drilling; internal structure; consolidated layer; porosity</t>
  </si>
  <si>
    <t>During the resent years (1996-2005) the Arctic and Antarctic Research Institute performed expeditionary research in marginal seas. One of the tasks consisted in the determination of morphometric characteristics of ice ridges and stamukhas with the help of thermodrilling, with recording of the rate using a computer. The record of the penetration rate of the thermodrill and the water column pressure in the borehole as a function of depth, as well as processing of the recorded data, enabled to get information about the boundaries of consolidated layer. Principles of interpretation of the records of penetration rate of the thermodrill are discussed. Depth-wise distribution of volume content of solid phase of ice is presented for ice ridges and stamukhas in the various regions. Methodological grounds are discussed, of the determination of this distribution, based on the results of averaging of the data obtained through thermodrilling. Internal structure of ice ridges and stamukhas is discussed, for the Pechora Sea, the Sea of Okhotsk, the Caspian Sea, the Sea of Azov and near-polar district of Arctic basin, as well as its consideration with respect to other literary sources. Based on the accomplished analysis of the internal structure of ice ridges and stamukhas of the shelf of the Sakhalin Island and the Pechora Sea, a conclusion was made, that the thickness of consolidated layer determined based on the rate of drilling, according to subjective perception of the operator, frequently proves to be overestimated. The ratio between average thickness of consolidated layer of ice ridges and average thickness of level ice which surrounds the same in the regions in question varies within the range of 0.83...1.63, about 1.2 on the average. For stamukhas this ratio varies within the range of 1.3...2.1, about 1.7 on the average. Average porosity of the investigated ice ridges varies within the range of 12-28%, of the stamukhas - 7-20%. (C) 2007 Elsevier B.V. All rights reserved.</t>
  </si>
  <si>
    <t>State Inst Arctic &amp; Antarctic Res Inst, St Petersburg, Russia</t>
  </si>
  <si>
    <t>Kharitonov, VV (corresponding author), State Inst Arctic &amp; Antarctic Res Inst, St Petersburg, Russia.</t>
  </si>
  <si>
    <t>sogra.kharitonov@mail.ru</t>
  </si>
  <si>
    <t>Kharitonov, Victor/0000-0003-1847-9980</t>
  </si>
  <si>
    <t>10.1016/j.coldregions.2007.04.020</t>
  </si>
  <si>
    <t>298RU</t>
  </si>
  <si>
    <t>WOS:000255705600003</t>
  </si>
  <si>
    <t>Gore, DB; Snape, I</t>
  </si>
  <si>
    <t>Gore, D. B.; Snape, I.</t>
  </si>
  <si>
    <t>Freeze-thaw cycling, moisture and leaching from a Controlled Release Nutrient source</t>
  </si>
  <si>
    <t>bioremediation; fertilizer; petroleum hydrocarbon; microbial activity</t>
  </si>
  <si>
    <t>NEUTRAL-PH SUBSTRATE; OUTDOOR ENVIRONMENT; NITROGEN; SOIL; MINERALIZATION; BIODEGRADATION; TEMPERATURE; ENHANCEMENT; FERTILIZERS; INHIBITION</t>
  </si>
  <si>
    <t>Controlled Release Nutrient sources assist in the bioremediation of hydrocarbon spills by stimulating microbial activity. However, freeze-thaw activity might result in splitting of fertilizer pellets with the uncontrolled release of nutrients. We examined the role of freeze-thaw and three moisture levels on nutrient release from MaxBacel, a nitrogen and phosphorus-based fertilizer encapsulated by an organic resin. We found that moisture alone accounts for most of the nutrient release, while freeze-thaw creates only a minor enhancement of nutrient release. This Controlled Release Nutrient source appears to be suitable for use in areas of freezing ground. (C) 2007 Elsevier B.V. All rights reserved.</t>
  </si>
  <si>
    <t>[Gore, D. B.] Macquarie Univ, N Ryde, NSW 2109, Australia; [Snape, I.] Australian Antarctic Div, Kingston, Tas 7050, Australia</t>
  </si>
  <si>
    <t>Macquarie University; Australian Antarctic Division</t>
  </si>
  <si>
    <t>Gore, DB (corresponding author), Macquarie Univ, N Ryde, NSW 2109, Australia.</t>
  </si>
  <si>
    <t>damian.gore@mq.edu.au</t>
  </si>
  <si>
    <t>Gore, Damian/0000-0002-0377-8518</t>
  </si>
  <si>
    <t>1872-7441</t>
  </si>
  <si>
    <t>10.1016/j.coldregions.2007.07.007</t>
  </si>
  <si>
    <t>WOS:000255705600009</t>
  </si>
  <si>
    <t>Fields, PA; Strothers, CM; Mitchell, MA</t>
  </si>
  <si>
    <t>Fields, Peter A.; Strothers, Chad M.; Mitchell, Mark A.</t>
  </si>
  <si>
    <t>Function of muscle-type lactate dehydrogenase and citrate synthase of the Galapagos marine iguana, Amblyrhynchus cristatus, in relation to temperature</t>
  </si>
  <si>
    <t>COMPARATIVE BIOCHEMISTRY AND PHYSIOLOGY B-BIOCHEMISTRY &amp; MOLECULAR BIOLOGY</t>
  </si>
  <si>
    <t>A(4)-lactate dehydrogenase; Amblyrhynchus cristatus; citrate synthase; Iguana iguana; temperature</t>
  </si>
  <si>
    <t>DIFFERENT THERMAL ENVIRONMENTS; COLD ADAPTATION; A(4)-LACTATE DEHYDROGENASES; MALATE-DEHYDROGENASES; FORAGING STRATEGIES; BODY TEMPERATURES; ANTARCTIC FISHES; SWISS-MODEL; HEART-RATE; PROTEIN</t>
  </si>
  <si>
    <t>The Galapagos marine iguana, Amblyrhynchus cristatus, is unique among lizards in foraging subtidally, leading to activity across a broad range of ambient temperatures (similar to 14-40 degrees C). To determine whether the marine iguana shows any biochemical changes consistent with maintaining enzyme function at both warm and cold body temperatures, we examined the function of the aerobic enzyme citrate synthase (CS) and the muscle isoform of the anaerobic enzyme lactate dehydrogenase (A(4)-LDH) in A. cristatus and a confamilial species, Iguana iguana, from 14 to 46 degrees C. We also deduced amino acid. sequences from cDNA of each enzyme. In CS, despite two amino acid substitutions, we found no difference in the apparent Michaelis-Menten constant K. of oxaloacetate at any temperature, indicating that the substrate affinity of CS in A. cristatus has not adapted to changes in thermal environment. In A4-LDH, we used site-directed mutagenesis to show that the substitutions T9A and I283V (A. cristatus -&gt; I. iguana) individually have no effect on kinetics, but together significantly decrease the Km of pyruvate and catalytic rate constant (k(cat)) of the A. cristatus ortholog. Thus, our data show that A. cristatus A(4)-LDH has not become cold adapted in response to this species' aquatic foraging behavior, and instead may be consistent with moderate warm adaptation with respect to the I. iguana ortholog. (C) 2008 Elsevier Inc. All rights reserved.</t>
  </si>
  <si>
    <t>[Fields, Peter A.] Franklin &amp; Marshall Coll, Dept Biol, Lancaster, PA 17604 USA; [Strothers, Chad M.] Merck &amp; Co Inc, West Point, PA 19486 USA; [Mitchell, Mark A.] Univ Illinois, Coll Vet Med, Urbana, IL 61802 USA</t>
  </si>
  <si>
    <t>Franklin &amp; Marshall College; Merck &amp; Company; University of Illinois System; University of Illinois Urbana-Champaign</t>
  </si>
  <si>
    <t>Fields, PA (corresponding author), Franklin &amp; Marshall Coll, Dept Biol, Lancaster, PA 17604 USA.</t>
  </si>
  <si>
    <t>peter.fields@fandm.edu</t>
  </si>
  <si>
    <t>Mitchell, Mark/GPX-1183-2022</t>
  </si>
  <si>
    <t>1096-4959</t>
  </si>
  <si>
    <t>1879-1107</t>
  </si>
  <si>
    <t>COMP BIOCHEM PHYS B</t>
  </si>
  <si>
    <t>Comp. Biochem. Physiol. B-Biochem. Mol. Biol.</t>
  </si>
  <si>
    <t>10.1016/j.cbpb.2008.01.008</t>
  </si>
  <si>
    <t>Biochemistry &amp; Molecular Biology; Zoology</t>
  </si>
  <si>
    <t>296UX</t>
  </si>
  <si>
    <t>WOS:000255572400007</t>
  </si>
  <si>
    <t>Van de Vijver, B</t>
  </si>
  <si>
    <t>Van de Vijver, Bart</t>
  </si>
  <si>
    <t>Pinnularia obaesa sp nov and P. australorabenhorstii sp nov., two new large Pinnularia (sect. Distantes) from the Antarctic King George Island (South Shetland Islands)</t>
  </si>
  <si>
    <t>DIATOM RESEARCH</t>
  </si>
  <si>
    <t>A recent survey of the non-marine diatoms of the South Shetland Islands (southern Atlantic Ocean) resulted in the discovery of two unusual species of the genus Pinnularia, section Distantes. Based on both light and scanning electron microscopical research, both species are described as new species: Pinnularia obaesa sp. nov. and P. australorabenhorstii sp. nov. The morphology of both species is compared to other, similar species of the section Distantes. The most striking feature of P. obaesa is its rather unusual alveoli structure presenting a labyrinth-like network of silica rims superimposed on the areolae. Notes on the ecology and biogeography of both species are added.</t>
  </si>
  <si>
    <t>Natl Bot Garden Belgium, Dept Bryophytes &amp; Thallophytes, B-1860 Meise, Belgium</t>
  </si>
  <si>
    <t>Van de Vijver, B (corresponding author), Natl Bot Garden Belgium, Dept Bryophytes &amp; Thallophytes, B-1860 Meise, Belgium.</t>
  </si>
  <si>
    <t>0269-249X</t>
  </si>
  <si>
    <t>2159-8347</t>
  </si>
  <si>
    <t>DIATOM RES</t>
  </si>
  <si>
    <t>Diatom Res.</t>
  </si>
  <si>
    <t>294SP</t>
  </si>
  <si>
    <t>WOS:000255426200017</t>
  </si>
  <si>
    <t>Van de Vijver, B; Kelly, M; Blanco, S; Jarlman, A; Ector, L</t>
  </si>
  <si>
    <t>Van de Vijver, Bart; Kelly, Martyn; Blanco, Saul; Jarlman, Amelie; Ector, Luc</t>
  </si>
  <si>
    <t>The unmasking of a sub-Antarctic endemic:: Psammothidium abundans (Manguin) Bukhtiyarova et Round in European rivers</t>
  </si>
  <si>
    <t>WATER DIATOM COMMUNITIES; FRESH-WATER; URBANIZATION; DISPERSAL; ISLANDS; REGION; ALGAE; LAKES</t>
  </si>
  <si>
    <t>Psommothidium abundans (Manguin) Bukhtiyarova &amp; Round was described 50 years ago from the sub-Antarctic Kerguelen archipelago (southern Indian Ocean). Apart from single occurrences in South Africa, southern Australia and Tierra del Fuego, the reported distribution of this species is restricted to the (sub-)Antarctic Region. In the northern hemisphere, the species was only very sporadically reported from two rivers in Scotland. During surface water surveys in Sweden, United Kingdom and Ireland (as part of water quality investigations), several populations of an Achnanthoid species similar in appearance to P. abundans have been found in rivers and brooks. The morphological analysis of the European forms, together with a thorough examination of the type material (including lectotypification of P. abundans), could not reveal any morphological differences between the European and sub-Antarctic (type) populations. This paper is the result of the morphological study of this species and raises questions about how the species ended up so far from its original distributional range. After elimination of all possible dispersion abilities, it is most likely that the species has always been present in the European rivers but has been overlooked till now. Possible causes for this are the lack of appropriate identification literature during standard European water monitoring, species drift and force-fitting and the fact that many rivers have not been thoroughly studied.</t>
  </si>
  <si>
    <t>[Van de Vijver, Bart] Natl Bot Garden Belgium, Dept Bryophytes &amp; Thallophytes, B-1860 Meise, Belgium; [Kelly, Martyn] Bowburn Consultancy, Durham DH6 5QB, England; [Blanco, Saul] Univ Leon, Area Ecol, E-24071 Leon, Spain; [Jarlman, Amelie] Jarlman HB, S-22352 Lund, Sweden; [Ector, Luc] Publ Res Ctr Gabriel Lippmann, Dept Environm &amp; Agrobiotechnol, L-4422 Belvaux, Luxembourg</t>
  </si>
  <si>
    <t>Universidad de Leon; Luxembourg Institute of Science &amp; Technology</t>
  </si>
  <si>
    <t>Blanco, Saúl/C-5529-2009</t>
  </si>
  <si>
    <t>Blanco, Saúl/0000-0002-9015-2512; Ector, Luc/0000-0002-4573-9445</t>
  </si>
  <si>
    <t>BIOPRESS LIMITED</t>
  </si>
  <si>
    <t>THE ORCHARD, CLANAGE RD, BRISTOL BS3 2JX, ENGLAND</t>
  </si>
  <si>
    <t>WOS:000255426200018</t>
  </si>
  <si>
    <t>Smellie, JL</t>
  </si>
  <si>
    <t>Smellie, John L.</t>
  </si>
  <si>
    <t>Basaltic subglacial sheet-like sequences: Evidence for two types with different implications for the inferred thickness of associated ice</t>
  </si>
  <si>
    <t>EARTH-SCIENCE REVIEWS</t>
  </si>
  <si>
    <t>subglacial eruptions; glaciovolcanic; basaltic; sheet-like; dalsheidi; pinafore; ice sheet; palaeoenvironments; west antarctic ice sheet</t>
  </si>
  <si>
    <t>MARIE-BYRD LAND; SOUTHWESTERN BRITISH-COLUMBIA; NORTHERN ANTARCTIC PENINSULA; HEAT-TRANSFER; VOLCANIC-ERUPTIONS; RHYOLITE ERUPTION; TABLE MOUNTAINS; FLOW DEPOSITS; SEA-LEVEL; ICELAND</t>
  </si>
  <si>
    <t>Subglacially-empted volcanic sequences provide proxies for a unique range of palaeo-ice parameters and they are potentially highly useful archives of palaeoenvironmental information, particularly for pre-Quaternary periods. They can thus be incorporated by climate and ice sheet modellers in the same way as other environmental proxies, yet they remain largely under-utilised. Basaltic volcanic sequences erupted subglacially consist empirically of two major types, corresponding to eruptions under thick and thin ice, respectively. The latter are called subglacial sheet-like sequences and only one generic type of sequence has been described so far. However, there is now evidence that there are at least two generic types, with significantly different implications for interpretations of associated palaeo-ice sheet thicknesses. One type, which is relatively well described, is believed to be a diagnostic product of eruptions associated with a relatively thin glacial cover (&lt; c. 150-200 m), probably corresponding most commonly to mountain glaciers but also conceivably thin ice caps or sheets, of any thermal regime (temperate, sub-polar, polar). It is here called the Mount Pinafore type. By contrast, a second subglacial sheet-like sequence, described in this paper for the first time and called the Dalsheidi-type, represents products of eruptions under much thicker ice (probably &gt; 1000 in). Eruptions that form the Dalsheidi-type of sequence commence with the injection and inflation of a sill along the ice:bedrock interface. Such interface sills were predicted theoretically but had no known geological example, until now. Subsequent evolution commonly involves floating of the ice cover, catastrophic meltwater drainage and emplacement of widespread sheets of hyaloclastite, as cohesionless mass flows and hyperconcentrated flows. The water-saturated hyaloclastite is characteristically intruded by apophyses sourced in the underlying interface sill. Eruptions are commonly not explosive until their later stages. Dalsheidi-type deposits are outflow sequences probably linked to subglacial pillow volcanoes, which in Iceland were erupted along fissures. They only provide an indication of minimum thicknesses of the associated overlying ice, although theoretical considerations suggest substantial ice thicknesses in excess of 1000 in. However, they are likely to be characteristic products of eruptions under the thick West Antarctic Ice Sheet, but are currently inaccessible. Such eruptions may be capable of destabilising that ice sheet. (c) 2008 Elsevier B.V. All rights reserved.</t>
  </si>
  <si>
    <t>Smellie, JL (corresponding author), British Antarctic Survey, Madingley Rd, Cambridge CB3 0ET, England.</t>
  </si>
  <si>
    <t>JLSM@bas.ac.uk</t>
  </si>
  <si>
    <t>0012-8252</t>
  </si>
  <si>
    <t>1872-6828</t>
  </si>
  <si>
    <t>EARTH-SCI REV</t>
  </si>
  <si>
    <t>Earth-Sci. Rev.</t>
  </si>
  <si>
    <t>10.1016/j.earscirev.2008.01.004</t>
  </si>
  <si>
    <t>304ZW</t>
  </si>
  <si>
    <t>WOS:000256148600003</t>
  </si>
  <si>
    <t>Timofeyev, MA; Shatilina, ZM; Bedulina, DS; Protopopova, MV; Pavlichenko, VV; Grabelnych, OI; Kolesnichenko, AV</t>
  </si>
  <si>
    <t>Timofeyev, M. A.; Shatilina, Z. M.; Bedulina, D. S.; Protopopova, M. V.; Pavlichenko, V. V.; Grabelnych, O. I.; Kolesnichenko, A. V.</t>
  </si>
  <si>
    <t>Evaluation of biochemical responses in Palearctic and Lake Baikal endemic amphipod species exposed to CdCl2</t>
  </si>
  <si>
    <t>ECOTOXICOLOGY AND ENVIRONMENTAL SAFETY</t>
  </si>
  <si>
    <t>Lake Baikal; amphipods; endemics; cadmium chloride; peroxidase; catalase; sHSP; alpha-crystallin</t>
  </si>
  <si>
    <t>SHOCK/ALPHA-CRYSTALLIN PROTEIN; HEAT-SHOCK-PROTEIN; ANTIOXIDANT ENZYME-ACTIVITIES; NATURAL ORGANIC-MATTER; LIPID-PEROXIDATION; OXIDATIVE-STRESS; MOLECULAR CHAPERONES; ARTEMIA-FRANCISCANA; ENCYSTED EMBRYOS; ANTARCTIC FISH</t>
  </si>
  <si>
    <t>This study evaluated small heat shock proteins (sHSP) (related to a-crystallin) and antioxidant enzymes (POD, peroxidase and CAT, catalase) as possible biomarkers for use in toxicological studies. Biochemical responses to cadmium chloride in two Lake Baikal endemic amphipods (Eulimnogammarus verrucosus, Eulimnogammarus cyaneus) and Palearctic species (Gammarus lacustris) were compared. Our findings showed that cadmium chloride toxicity directly influenced POD activity and sHSP synthesis in all amphipod species. The Baikalean endemic and the Palearctic amphipod species responded by decreasing activity of POD and they exhibited a dose-dependent activation of sHSP synthesis. All measured parameters differed among species and depended on the species' ability to resist cadmium chloride toxicity. CAT activity in the Palearctic species responded significantly to cadmium chloride exposure; however, responses were negligible for both Baikalean species. We suggest that synthesis of sHSP, together with changes in POD activity, could be used as biomarkers for further studies of amphipod species including endemics from Lake Baikal. (C) 2007 Elsevier Inc. All rights reserved.</t>
  </si>
  <si>
    <t>[Timofeyev, M. A.; Shatilina, Z. M.; Bedulina, D. S.; Protopopova, M. V.; Pavlichenko, V. V.] Irkutsk State Univ, Irkutsk 664003, Russia; [Timofeyev, M. A.; Shatilina, Z. M.; Kolesnichenko, A. V.] Baikalean Res Ctr, Irkutsk 664003, Russia; [Kolesnichenko, A. V.] RAS, Inst Plant Physiol, Moscow 117901, Russia; [Grabelnych, O. I.] SB RAS, Siberian Inst Plant Physiol &amp; Biochem, Irkutsk 664033, Russia</t>
  </si>
  <si>
    <t>Irkutsk State University; Russian Academy of Sciences; Timiryazev Institute of Plant Physiology; Irkutsk Science Centre of the Russian Academy of Sciences; Russian Academy of Sciences; Siberian Institute of Plant Physiology &amp; Biochemistry; Sochava Institute of Geography, Siberian Branch of the Russian Academy of Sciences</t>
  </si>
  <si>
    <t>Timofeyev, MA (corresponding author), Irkutsk State Univ, Karl Marx 1, Irkutsk 664003, Russia.</t>
  </si>
  <si>
    <t>Shatilina, Zhanna Mikhailovna/CAF-0020-2022; Kolesnichenko, Aleksey V./HZI-2476-2023; Protopopova, Marina V./I-8637-2014; Pavlichenko, Vasiliy/G-2525-2015; Shatilina, Zhanna/K-1313-2012; Grabelnych, Olga I./R-5190-2016; Timofeyev, Maxim/F-2071-2010; Bedulina, Daria/E-6976-2012</t>
  </si>
  <si>
    <t>Shatilina, Zhanna Mikhailovna/0000-0002-5926-4612; Kolesnichenko, Aleksey V./0000-0003-3870-0080; Protopopova, Marina V./0000-0002-4722-5368; Pavlichenko, Vasiliy/0000-0002-8253-8458; Grabelnych, Olga I./0000-0003-4220-6608; Timofeyev, Maxim/0000-0002-5250-6818; Bedulina, Daria/0000-0001-7650-0974</t>
  </si>
  <si>
    <t>0147-6513</t>
  </si>
  <si>
    <t>1090-2414</t>
  </si>
  <si>
    <t>ECOTOX ENVIRON SAFE</t>
  </si>
  <si>
    <t>Ecotox. Environ. Safe.</t>
  </si>
  <si>
    <t>10.1016/j.ecoenv.2007.06.014</t>
  </si>
  <si>
    <t>Environmental Sciences; Toxicology</t>
  </si>
  <si>
    <t>Environmental Sciences &amp; Ecology; Toxicology</t>
  </si>
  <si>
    <t>305WC</t>
  </si>
  <si>
    <t>WOS:000256207500012</t>
  </si>
  <si>
    <t>de Pascale, D; Cusano, AM; Autore, F; Parrilli, E; di Prisco, G; Marino, G; Tutino, ML</t>
  </si>
  <si>
    <t>de Pascale, Donatella; Cusano, Angela M.; Autore, Flavia; Parrilli, Ermenegilda; di Prisco, Guido; Marino, Gennaro; Tutino, M. Luisa</t>
  </si>
  <si>
    <t>The cold-active Lip1 lipase from the Antarctic bacterium Pseudoalteromonas haloplanktis TAC125 is a member of a new bacterial lipolytic enzyme family</t>
  </si>
  <si>
    <t>EXTREMOPHILES</t>
  </si>
  <si>
    <t>Pseudoalteromonas haloplanktis TAC125; psychrophilic bacterial strain; alpha/beta hydrolase</t>
  </si>
  <si>
    <t>INTERFACIAL ACTIVATION; BIOTECHNOLOGY; MICROORGANISMS; HYDROLASE; RIBOSOME; ESTERASE; SEQUENCE; CLONING; GENOME; LIFE</t>
  </si>
  <si>
    <t>The genome of the Antarctic bacterium Pseudoalteromonas haloplanktis TAC125 was searched for the presence of genes encoding ester-hydrolysing enzymes. Amongst the others, the gene PSHAa0051 coding for a putative secreted esterase/lipase was selected. The psychrophilic gene was cloned, functionally over-expressed in P. haloplanktis TAC125, and the recombinant product (after named PhTAC125 Lip1) was purified. PhTAC125 Lip1 was found to be associated to the outer membrane and exhibited higher enzymatic activity towards synthetic substrates with long acyl chains. A structural model was constructed using the structure of carboxylesterase Est30 from Geobacillus stearothermophilus as template. The model covered the central part of the protein with the exceptions of PhTAC125 Lip1 N- and C-terminal regions, where the psychrophilic protein displays extra-domains. The constructed model showed a typical alpha/beta-hydrolase fold, and confirmed the presence of a canonical catalytic triad consisting of Ser, Asp and His. The sequence analysis showed that PhTAC125 Lip1 is distantly related to other lipolytic enzymes, but closely related to other putative psychrophilic esterases/lipases. The aligned proteins share common features, such as: (1) a conserved new active-site pentapeptide motif (LGG(F/L/Y)STG); (2) the likely extra-cytoplasmic localization, (3) the absence of a typical calcium-binding pocket, and (4) the absence of a canonical lid. These observations strongly suggest that aligned proteins constitute a novel lipase family, typical of psychrophilic marine gamma-proteobacteria, and PhTAC125 Lip1 could be considered the first characterised member of this family.</t>
  </si>
  <si>
    <t>[de Pascale, Donatella; di Prisco, Guido] CNR, Inst Prot Biochem, I-80131 Naples, Italy; [Cusano, Angela M.; Autore, Flavia; Parrilli, Ermenegilda; di Prisco, Guido; Tutino, M. Luisa] Univ Naples Federico II, Dept Organ Chem &amp; Biochem, I-80126 Naples, Italy; [Parrilli, Ermenegilda; Marino, Gennaro; Tutino, M. Luisa] Univ Naples Federico II, Sch Biotechnol Sci, I-80126 Naples, Italy</t>
  </si>
  <si>
    <t>Consiglio Nazionale delle Ricerche (CNR); Istituto di Biochimica delle Proteine (IBP-CNR); University of Naples Federico II; University of Naples Federico II</t>
  </si>
  <si>
    <t>de Pascale, D (corresponding author), CNR, Inst Prot Biochem, Via Pietro Castellino 111, I-80131 Naples, Italy.</t>
  </si>
  <si>
    <t>d.depascale@ibp.cnr.it</t>
  </si>
  <si>
    <t>Cusano, Angela Maria/CAJ-1936-2022; parrilli, ermenegilda/JAZ-0586-2023; parrilli, ermenegilda/K-4616-2016; Cusano, Angela M/K-9121-2013; TUTINO, MARIA LUISA/L-1834-2013</t>
  </si>
  <si>
    <t>Cusano, Angela Maria/0000-0002-9903-1717; parrilli, ermenegilda/0000-0002-9002-5409; Tutino, Maria Luisa/0000-0002-4978-6839</t>
  </si>
  <si>
    <t>SPRINGER JAPAN KK</t>
  </si>
  <si>
    <t>CHIYODA FIRST BLDG EAST, 3-8-1 NISHI-KANDA, CHIYODA-KU, TOKYO, 101-0065, JAPAN</t>
  </si>
  <si>
    <t>1431-0651</t>
  </si>
  <si>
    <t>1433-4909</t>
  </si>
  <si>
    <t>Extremophiles</t>
  </si>
  <si>
    <t>10.1007/s00792-008-0163-9</t>
  </si>
  <si>
    <t>Biochemistry &amp; Molecular Biology; Microbiology</t>
  </si>
  <si>
    <t>296TY</t>
  </si>
  <si>
    <t>WOS:000255569900001</t>
  </si>
  <si>
    <t>Bunbury, JM; Graham, A; Hunter, MA</t>
  </si>
  <si>
    <t>Bunbury, J. M.; Graham, A.; Hunter, M. A.</t>
  </si>
  <si>
    <t>Stratigraphic landscape analysis: Charting the holocene movements of the Nile at Karnak through ancient Egyptian time</t>
  </si>
  <si>
    <t>GEOARCHAEOLOGY-AN INTERNATIONAL JOURNAL</t>
  </si>
  <si>
    <t>TELL-EL-AMARNA; EXPLORATION-SOCIETY ACTIVITIES; MEMPHIS; RIVER; FIELDWORK; DYNAMICS; VALLEY; SAIS</t>
  </si>
  <si>
    <t>Geological analysis of 5-10-m-long sediment cores in the context of the anthropologically derived materials within them has allowed us to identify ancient landscape features in the Theban area around Luxor, Egypt. From these observations we propose a sequence of island formation and northwestward movement of the Nile from the Middle Kingdom onward in the area of the temple complexes of Karnak. The geoarchaeological techniques used appear to document the Holocene lateral migration and vertical aggradation of the Nile. Our method can be used to test postulated movements and is applicable to sites in river or coastal plains where sediments were being deposited during the occupation of the site. The sediments were sieved to retrieve sherds and numerous other small items (2 mm and larger), which included worked stone fragments, rootlet concretions (rhizocretions), desert polished sand grains, and occasionally beads. The small stone fragments can be correlated with buildings and sherds of known age within the site, while the rhizocretions and desert sand grains indicate environmental conditions prevailing at the time of deposition. (c) 2008 Wiley Periodicals, Inc.</t>
  </si>
  <si>
    <t>[Bunbury, J. M.] Univ Cambridge, Dept Earth Sci, Cambridge CB2 3EQ, England; [Hunter, M. A.] British Antarctic Survey, Cambridge CB3 0ET, England; [Graham, A.] UCL, Inst Archaeol, London WC1H 0PY, England</t>
  </si>
  <si>
    <t>University of Cambridge; UK Research &amp; Innovation (UKRI); Natural Environment Research Council (NERC); NERC British Antarctic Survey; University of London; University College London</t>
  </si>
  <si>
    <t>Bunbury, JM (corresponding author), Univ Cambridge, Dept Earth Sci, Dowing St, Cambridge CB2 3EQ, England.</t>
  </si>
  <si>
    <t>jmb21@ese.cam.ac.uk</t>
  </si>
  <si>
    <t>Graham, Angus/B-8418-2013</t>
  </si>
  <si>
    <t>0883-6353</t>
  </si>
  <si>
    <t>1520-6548</t>
  </si>
  <si>
    <t>GEOARCHAEOLOGY</t>
  </si>
  <si>
    <t>Geoarchaeology</t>
  </si>
  <si>
    <t>10.1002/gea.20219</t>
  </si>
  <si>
    <t>Archaeology; Geosciences, Multidisciplinary</t>
  </si>
  <si>
    <t>Science Citation Index Expanded (SCI-EXPANDED); Arts &amp; Humanities Citation Index (A&amp;HCI)</t>
  </si>
  <si>
    <t>Archaeology; Geology</t>
  </si>
  <si>
    <t>291XD</t>
  </si>
  <si>
    <t>WOS:000255229700003</t>
  </si>
  <si>
    <t>Ivany, LC; Lohmann, KC; Hasiuk, F; Blake, DB; Glass, A; Aronson, RB; Moody, RM</t>
  </si>
  <si>
    <t>Ivany, Linda C.; Lohmann, Kyger C.; Hasiuk, Franciszek; Blake, Daniel B.; Glass, Alexander; Aronson, Richard B.; Moody, Ryan M.</t>
  </si>
  <si>
    <t>Eocene climate record of a high southern latitude continental shelf: Seymour Island, Antarctica</t>
  </si>
  <si>
    <t>GEOLOGICAL SOCIETY OF AMERICA BULLETIN</t>
  </si>
  <si>
    <t>stable isotope; Eocene; climate; bivalve; Antarctica; strontium</t>
  </si>
  <si>
    <t>LA-MESETA FORMATION; STRONTIUM ISOTOPE STRATIGRAPHY; GLOBAL SEA-LEVEL; LOOK-UP TABLE; BIPOLAR GLACIATION; FOSSIL WOOD; OCEAN; MA; TEMPERATURES; OXYGEN</t>
  </si>
  <si>
    <t>A high-resolution record of Eocene paleo-temperature variation is preserved within the high southern latitude, marine shelf succession of the La Meseta Formation on Seymour Island, off the NE side of the Antarctic Peninsula. Sr-87/Sr-86 ratios of bivalve shell carbonate indicate that the La Meseta Formation spans virtually the entire Eocene, and suggest the presence of an early middle Eocene unconformity. Paleoclimatic and paleoceanographic inferences are based on the stable oxygen and carbon isotope values of two genera of bivalves collected with a high degree of stratigraphic resolution within the formation, and with multiple replicate samples from each horizon. 6180 data indicate roughly 10 degrees C of cooling from the early Eocene climatic optimum (similar to 15 degrees C) through the end of the Eocene (minimum similar to 5 degrees C), much of which took place in two comparatively short intervals at ca. 52 and ca. 41 Ma. Many features of the isotope curves generated from this Eocene shelf section are apparent in delta O-18 and delta C-13 data from the Southern and global oceans, including warm intervals that likely correspond to the early and middle Eocene climatic optima (EECO and MECO). A rapid middle Eocene shift to much more positive values is the most significant in the section and reflects a drop to universally cooler temperatures in the late middle and late Eocene that might also be associated with a short-lived glacial advance. However, even using a somewhat depleted value for delta O-18 of seawater in the Antarctic peninsular region, average Seymour Island shelf-water paleotemperatures did not reach freezing before the end of the Eocene. PC data similarly reflect the documented middle Eocene surface ocean enrichment followed by more negative values, but depletion is much more pronounced on Seymour Island and persists for the remainder of the Eocene, suggesting a combination of upwelling, metabolic effects, and/or atypical carbon cycling on the shelf in this region. Isotope data capture information about changes in the paleoenvironment that also had consequences for the biota, as published paleontological records document marked change in the nature of terrestrial and marine biota at this time. The fact that middle Eocene cooling and biotic turnover in the Peninsular region correspond well in time to the proposed initial opening of Drake Passage suggests that the formation of gateways, in addition to changes in pCO(2), had significant consequences for the Earth's climate system during the Paleogene.</t>
  </si>
  <si>
    <t>[Ivany, Linda C.] Syracuse Univ, Dept Earth Sci, Syracuse, NY 13244 USA; [Lohmann, Kyger C.; Hasiuk, Franciszek] Univ Michigan, Dept Geol Sci, Ann Arbor, MI 48109 USA; [Blake, Daniel B.; Glass, Alexander] Univ Illinois, Dept Geol, Urbana, IL 61801 USA; [Aronson, Richard B.; Moody, Ryan M.] Dauphin Island Sea Lab, Dauphin Isl, AL 36528 USA</t>
  </si>
  <si>
    <t>Syracuse University; University of Michigan System; University of Michigan; University of Illinois System; University of Illinois Urbana-Champaign</t>
  </si>
  <si>
    <t>Ivany, LC (corresponding author), Syracuse Univ, Dept Earth Sci, Syracuse, NY 13244 USA.</t>
  </si>
  <si>
    <t>lcivany@syr.edu</t>
  </si>
  <si>
    <t>; Hasiuk, Franciszek/N-6331-2015</t>
  </si>
  <si>
    <t>Aronson, Richard/0000-0003-0383-3844; Lohmann, Kyger/0000-0002-0709-9192; Hasiuk, Franciszek/0000-0002-6531-1710</t>
  </si>
  <si>
    <t>GEOLOGICAL SOC AMER, INC</t>
  </si>
  <si>
    <t>PO BOX 9140, BOULDER, CO 80301-9140 USA</t>
  </si>
  <si>
    <t>0016-7606</t>
  </si>
  <si>
    <t>1943-2674</t>
  </si>
  <si>
    <t>GEOL SOC AM BULL</t>
  </si>
  <si>
    <t>Geol. Soc. Am. Bull.</t>
  </si>
  <si>
    <t>5-6</t>
  </si>
  <si>
    <t>10.1130/B26269.1</t>
  </si>
  <si>
    <t>300UJ</t>
  </si>
  <si>
    <t>WOS:000255850400010</t>
  </si>
  <si>
    <t>Hambrey, MJ; Smellie, JL; Nelson, AE; Johnson, JS</t>
  </si>
  <si>
    <t>Hambrey, Michael J.; Smellie, John L.; Nelson, Anna E.; Johnson, Joanne S.</t>
  </si>
  <si>
    <t>Late Cenozoic glacier-volcano interaction on James Ross Island and adjacent areas, Antarctic Peninsula region</t>
  </si>
  <si>
    <t>neogene glacial fluctuations; James Ross Island; Antarctic Peninsula Ice Sheet; glacier-volcano interaction; glacigenic sediments; lava-fed deltas; argon dating; strontium dating</t>
  </si>
  <si>
    <t>JAMES-ROSS-ISLAND; LATE CRETACEOUS STRATIGRAPHY; KING-GEORGE-ISLAND; LATE PLEISTOCENE; ICE-SHEET; HISTORY; MIOCENE; FACIES; AGE; OLIGOCENE</t>
  </si>
  <si>
    <t>The northern Antarctic Peninsula region has undergone similar to 10 m.y. of eruptive activity by basaltic volcanoes, mainly in subglacial settings. Spectacular exposures of lava-fed deltas, capped by basalt flows and commonly underlain by glacigenic sediments on top of a Cretaceous sedimentary basement, characterize James Ross, Vega, and other islands and promontories in the region. Neogene strata are collectively known as the James Ross Island Volcanic Group and record a cryptic history of glaciation, with the timing of events determinable by argon-isotope dating. Focusing especially on the glacigenic sediments themselves, and their relationships with overlying or bounding volcanic rocks, we define facies associations related to (1) eruptions beneath thick ice (&gt;200 m) that produced lava-fed deltas resting on, and intermingling with, diamictite; and (2) eruptions under marine conditions that typically culminated in the development of several tuff-cone successions, some on top of presumably relict glacially striated surfaces. A combination of provenance studies on clasts in the glacigenic sediments, some of which are derived from the Antarctic Peninsula, and geochronology, leads to the conclusion that an Antarctic Peninsula Ice Sheet extended over James Ross and Vega Islands at about the time that the main volcanic edifices began to grow, i.e., prior to ca. 6.2 Ma at least. Much of the subsequent development of the succession is attributed to the interaction between the growing volcanoes and local ice caps. Full resolution of glacial-interglacial events in this region promises to inform the debate about the stability of the most climatically sensitive part of the Antarctic Ice Sheet during the Neogene Period.</t>
  </si>
  <si>
    <t>[Hambrey, Michael J.] Aberystwyth Coll, Inst Geog &amp; Earth Sci, Ctr Glaciol, Aberystwyth SY23 3DB, Dyfed, Wales; [Smellie, John L.; Nelson, Anna E.; Johnson, Joanne S.] NERC, British Antarctic Survey, Cambridge CB3 0ET, England</t>
  </si>
  <si>
    <t>Aberystwyth University; UK Research &amp; Innovation (UKRI); Natural Environment Research Council (NERC); NERC British Antarctic Survey</t>
  </si>
  <si>
    <t>Hambrey, MJ (corresponding author), Aberystwyth Coll, Inst Geog &amp; Earth Sci, Ctr Glaciol, Aberystwyth SY23 3DB, Dyfed, Wales.</t>
  </si>
  <si>
    <t>mjh@aber.ac.uk</t>
  </si>
  <si>
    <t>Johnson, Joanne/0000-0003-4537-4447</t>
  </si>
  <si>
    <t>NERC [bas010019] Funding Source: UKRI; Natural Environment Research Council [bas010019] Funding Source: researchfish</t>
  </si>
  <si>
    <t>10.1130/B26242.1</t>
  </si>
  <si>
    <t>WOS:000255850400013</t>
  </si>
  <si>
    <t>Andreassen, K; Laberg, JS; Vorren, TO</t>
  </si>
  <si>
    <t>Andreassen, Karin; Laberg, Jan Sverre; Vorren, Tore O.</t>
  </si>
  <si>
    <t>Seafloor geomorphology of the SW Barents Sea and its glaci-dynamic implications</t>
  </si>
  <si>
    <t>GEOMORPHOLOGY</t>
  </si>
  <si>
    <t>scalloor geomorphology; glacial geomorphology; barents sea; seismic data; three-dimensional visualization; ice streams</t>
  </si>
  <si>
    <t>ANTARCTIC ICE-SHEET; CONTINENTAL-SHELF; CENOZOIC EROSION; SVALBARD MARGIN; ROSS SEA; STREAMS; RETREAT; WEST; SEDIMENTATION; ENVIRONMENTS</t>
  </si>
  <si>
    <t>Three-dimensional (31)) reflection seismic imaging techniques provide a unique means of identifying large-scale submarine geomorphic features produced by former ice sheets. We have used such techniques to image the geomorphology of the SW Barents Sea, but using a dense grid of 2D seismic, covering a 240 000(2) kin large study area, supplemented with 31) seismic from selected areas. The study area is located at the convergence of ice flow from the former Fennoscandian, Barents Sea and Svalbard ice sheets. The morphology of the major cross-shelf troughs is characterized by elongated ridge-groove features, interpreted to be glacial bedforms produced by fast-flowing grounded glaciers. Mega-scale glacial lineations have been grouped into distinct flow sets related to three specific ice flow events. These events document the last glacial maximum (LGM) and two readvances during deglaciation. Of specific interest is a detailed and well-preserved set of seafloor imprints in the Bjornoyrenna trough, which acted as the main pathway for ice streams draining the surrounding ice sheets. The geomorphic features indicate that Bjornoyrenna hosted six separate ice stream lobes that diverged fan-like at their margins, but were not all active simultaneously. An end moraine zone 68 kin wide, up to 85 in high and 300 km long filled the whole width of this major glacial trough as a result of high sediment flux within sub-ice stream deformable beds. The imprint of this ice stream system can be followed on our seabed images for 500 km; however, detailed geomorphologic elements demonstrate that these imprints reflect time-transgressive behaviour and do not indicate the length or width of single ice streams. The seismic-derived seafloor geomorphology demonstrates that the Barents Sea ice behaved in a much more dynamic way during the last glaciation than previously assumed, with major shifts between ice originating from the Fennoscandian, Spitsbergen and Barents Sea ice sheets. (C) 2007 Elsevier B.V. All rights reserved.</t>
  </si>
  <si>
    <t>[Andreassen, Karin; Laberg, Jan Sverre; Vorren, Tore O.] Univ Tromso, Dept Geol, N-9037 Tromso, Norway</t>
  </si>
  <si>
    <t>UiT The Arctic University of Tromso</t>
  </si>
  <si>
    <t>Andreassen, K (corresponding author), Univ Tromso, Dept Geol, N-9037 Tromso, Norway.</t>
  </si>
  <si>
    <t>karin.andreassen@ig.uit.no</t>
  </si>
  <si>
    <t>Andreassen, Karin/0000-0002-9407-526X</t>
  </si>
  <si>
    <t>0169-555X</t>
  </si>
  <si>
    <t>1872-695X</t>
  </si>
  <si>
    <t>Geomorphology</t>
  </si>
  <si>
    <t>MAY 1</t>
  </si>
  <si>
    <t>10.1016/j.geomorph.2007.02.050</t>
  </si>
  <si>
    <t>300LW</t>
  </si>
  <si>
    <t>WOS:000255826300011</t>
  </si>
  <si>
    <t>Putkonen, J; Connolly, J; Orloff, T</t>
  </si>
  <si>
    <t>Putkonen, Jaakko; Connolly, Jon; Orloff, Travis</t>
  </si>
  <si>
    <t>Landscape evolution degrades the geologic signature of past glaciations</t>
  </si>
  <si>
    <t>moraine evolution; erosion; sediment transport; boulder frequency; degradation model</t>
  </si>
  <si>
    <t>FAULT SCARPS; COSMOGENIC CL-36; SIERRA-NEVADA; RONGBUK VALLEY; ARCTIC CANADA; BAFFIN-ISLAND; SOIL-CREEP; ICE-SHEET; AGES; LANDFORMS</t>
  </si>
  <si>
    <t>Glaciers on land leave behind characteristic landforms and bedrock topography. The spatial extent of this signature and dating of the erosional and depositional features has led to a good understanding of temporal and spatial shifts of past glaciers and climate. At best the landscape contains considerable information on past glacial processes in the form of moraines and other depositional landforms. However, evidence suggests that all unconsolidated landforms degrade, manifested in the general degradation and smoothing of the topography over time. To determine the relative amount and pattern of degradation on glacial moraines we use a well-documented moraine degradation model that uses both local slope and a proportionality constant to determine the diamicton transport rate. This formulation results in diffusion type topographic smearing and smoothing of the initially angular topographic features. More specifically, diamicton is eroded at the crest of a moraine, transported downhill, and deposited on the gentler lower flank. Collectively this produces moraine cross-profiles that closely resemble observations in the field. By assuming an initial constant boulder frequency per unit volume of the diamicton, the model tracks the surface lowering and the related exhumation of boulders to the moraine surface. This produces a tightly constrained set of testable predictions: (1) modelled moraine cross-profile; (2) modelled spatial pattern of surface boulders (no boulders on the lower flank); and (3) relative frequency of surface boulders (smallest frequency of surface boulders at the inflection point, highest frequency at the crest). These characteristics were measured in the field of alpine, tropical, and Antarctic moraines. The correspondence between model predictions and field data is remarkably good, and strongly supports our understanding of the time dependent evolution of glacial landscapes. These results highlight the evolving nature of glacial landforms and indicate the complete removal of original moraine surfaces and postglacial emergence of spatial pattern in boulder frequency. (C) 2007 Elsevier B.V. All rights reserved.</t>
  </si>
  <si>
    <t>[Putkonen, Jaakko; Connolly, Jon] Univ Washington, Dept Earth &amp; Space Sci, Seattle, WA 98195 USA; [Putkonen, Jaakko; Connolly, Jon] Univ Washington, Quaternary Res Ctr, Seattle, WA 98195 USA; [Orloff, Travis] Univ Calif Santa Cruz, Dept Earth &amp; Planetary Sci, Santa Cruz, CA 95064 USA</t>
  </si>
  <si>
    <t>University of Washington; University of Washington Seattle; University of Washington; University of Washington Seattle; University of California System; University of California Santa Cruz</t>
  </si>
  <si>
    <t>Putkonen, J (corresponding author), Univ Washington, Dept Earth &amp; Space Sci, MS 351310, Seattle, WA 98195 USA.</t>
  </si>
  <si>
    <t>putkonen@u.washington.edu</t>
  </si>
  <si>
    <t>10.1016/j.geomorph.2007.02.043</t>
  </si>
  <si>
    <t>WOS:000255826300014</t>
  </si>
  <si>
    <t>Johnston, L; Wilson, GS; Gorman, AR; Henrys, SA; Horgan, H; Clark, R; Naish, TR</t>
  </si>
  <si>
    <t>Johnston, Lisa; Wilson, Gary S.; Gorman, Andrew R.; Henrys, Stuart A.; Horgan, Huw; Clark, Roger; Naish, Tim R.</t>
  </si>
  <si>
    <t>Cenozoic basin evolution beneath the southern McMurdo Ice Shelf, Antarctica</t>
  </si>
  <si>
    <t>GLOBAL AND PLANETARY CHANGE</t>
  </si>
  <si>
    <t>southern McMurdo Ice Shelf; ANDRILL; seismic reflection survey; Terror Rift; Cenozoic; Antarctica; ice layer multiples</t>
  </si>
  <si>
    <t>ROSS-SEA; VICTORIA-LAND; RIFT; ISLAND; SOUND</t>
  </si>
  <si>
    <t>Fifty-two kilometres of multi-channel seismic reflection data were acquired from the southern McMurdo Ice Shelf (SMIS) during potential drill site investigations for the Antarctic Drilling (ANDRILL) program. The survey was acquired atop 110 to 220 m of floating ice and extended across ablation and accumulation zones of the ice shelf. Seismic processing was tailored to the ice shelf environment, including: datum static corrections to account for changes in the thickness and average velocity of the near-surface firn layer, and changes in the surface elevation across the survey area; residual static corrections to account for near-surface ice shelf irregularities; and two-step predictive deconvolution to suppress ice and firn layer multiples. A model for the ice shelf thickness was also incorporated in the interval velocity model during depth conversion to ensure that the ice shelf structure did not impose non-static shifts on the seismic section. The depth converted CMP stacked sections reveal several N to NE trending normal faults, that offset reflective horizons by up to 150 in within the lower part of the section and form a broad cast-dipping, half-graben structure. The seafloor possesses trough and arch morphology in parallel with the half-graben structure. These features are interpreted as the southern extension of the Terror Rift. The rift succession comprises a dislocated (?)early-Miocene synrift package and a relatively undeformed (?)late-Miocene post-rift package separated by an erosional unconformity. The post-rift package infills and onlaps the rift topography, and drapes over the graben system, reaching a maximum thickness of 400 in. Throughout the post-rift phase, the basin was also influenced by Neogene volcanism, evidenced by three small volcanic features within the seismic profiles, and associated successions of inferred volcanic material. An angular unconformity within the post-rift succession is interpreted as a flexural horizon related to the load of Mount Discovery and/or Mount Morning. Up to 150 in of flexural moat fill occurs above this surface at similar to 20 km from the load centres. The post-rift succession also includes several glacio-geomorphic features, the orientation and morphology of which indicate an approximately SW to NE ice flow direction during a mid-Miocene grounding event and a SE to NW ice flow direction during Quaternary ice sheet grounding events. The thickness and lower extent of the rift succession was not able to be determined because signal-to-noise ratio and vertical resolution were low at these depths. Strata from an earlier, Paleogene, rift episode may underlie the Terror Rift succession, or it may be directly underlain by acoustic basement. A Paleogene rift episode has previously been proposed based on the occurrence of Eocene fossiliferous erratics around the margin of the SMIS and the structural setting revealed by the SMIS seismic reflection profiles is consistent with this hypothesis. (C) 2007 Elsevier B.V. All rights reserved.</t>
  </si>
  <si>
    <t>[Johnston, Lisa; Wilson, Gary S.; Gorman, Andrew R.] Univ Otago, Dept Geol, Dunedin, New Zealand; [Henrys, Stuart A.; Horgan, Huw; Naish, Tim R.] GNS Sci, Lower Hutt, New Zealand; [Clark, Roger] Univ Leeds, Sch Earth &amp; Environm, Leeds LS2 9JT, W Yorkshire, England; [Naish, Tim R.] Victoria Univ Wellington, Antarctic Res Ctr, Wellington, New Zealand</t>
  </si>
  <si>
    <t>University of Otago; GNS Science - New Zealand; University of Leeds; Victoria University Wellington</t>
  </si>
  <si>
    <t>Wilson, GS (corresponding author), Univ Otago, Dept Geol, POB 56, Dunedin, New Zealand.</t>
  </si>
  <si>
    <t>gary.wilson@otago.ac.nz</t>
  </si>
  <si>
    <t>Gorman, Andrew R/B-9674-2008; Wilson, Gary S/B-3803-2010; Henrys, Stuart/ABD-7378-2020; Horgan, Huw/I-5847-2019</t>
  </si>
  <si>
    <t>Henrys, Stuart/0000-0002-7164-5274; Horgan, Huw/0000-0002-4836-0078; Naish, Tim/0000-0002-1185-9932; Gorman, Andrew/0000-0002-8581-0197; Wilson, Gary/0000-0003-0025-3641</t>
  </si>
  <si>
    <t>0921-8181</t>
  </si>
  <si>
    <t>1872-6364</t>
  </si>
  <si>
    <t>GLOBAL PLANET CHANGE</t>
  </si>
  <si>
    <t>Glob. Planet. Change</t>
  </si>
  <si>
    <t>10.1016/j.gloplacha.2007.11.004</t>
  </si>
  <si>
    <t>311WM</t>
  </si>
  <si>
    <t>WOS:000256631100005</t>
  </si>
  <si>
    <t>Zanutta, A; Vittuari, L; Gandolfi, S</t>
  </si>
  <si>
    <t>Zanutta, Antonio; Vittuari, Luca; Gandolfi, Stefano</t>
  </si>
  <si>
    <t>Geodetic GPS-based analysis of recent crustal motions in Victoria Land (Antarctica)</t>
  </si>
  <si>
    <t>Antarctica; Victoria Land; GPS; ITRF; geodynamics; displacements</t>
  </si>
  <si>
    <t>PLATE; DEFORMATION; GEODYNAMICS; ITRF2000</t>
  </si>
  <si>
    <t>GPS measurements were collected within the framework of the VLNDEF (Victoria Land Network for DEFormation control) project, which was started in 1999 with the aim of detecting crustal deformation in Northern Victoria Land (Antarctica). The network was established in 1999 and is composed of one permanent station (TNB1), which has been observing since 1998, and 28 periodically surveyed control points. Three complete campaigns and some partial surveying of the network have been carried out to date. Data processing and analysis have been performed using an undifferenced approach for the network position within the ITRF. A double-differences-based strategy has been applied for movement detection. The data processing and analysis of results have been carried out for all available data, both periodically acquired and long time series. GPS measurements collected between December 1999 and February 2006 indicate a mean absolute motion of the region of nu(e) = 11.3 mm/yr and nu(n) = -11.1 mm/yr and rock uplift rates of nu(u) = 2.8 mm/yr. These values are consistent with Antarctic plate motion and the general postglacial rebound models of the region. The relative motions within VLNDEF are small and only few points show velocities greater than the confidence levels. (C) 2008 Elsevier B.V. All rights reserved.</t>
  </si>
  <si>
    <t>[Zanutta, Antonio; Vittuari, Luca; Gandolfi, Stefano] Univ Bologna, DISTART, I-40135 Bologna, Italy</t>
  </si>
  <si>
    <t>University of Bologna</t>
  </si>
  <si>
    <t>Zanutta, A (corresponding author), Univ Bologna, DISTART, Viale Risorgimento 2, I-40135 Bologna, Italy.</t>
  </si>
  <si>
    <t>antonio.zanutta@mail.ing.unibo.it; luca.vittuari@mail.ing.unibo.it; stefano.gandolfi@mail.ing.unibo.it</t>
  </si>
  <si>
    <t>ZANUTTA, ANTONIO/L-1647-2019; Vittuari, Luca/C-1606-2018; Gandolfi, Stefano/A-4892-2016</t>
  </si>
  <si>
    <t>ZANUTTA, ANTONIO/0000-0003-4872-5222; Gandolfi, Stefano/0000-0003-2096-5670; Vittuari, Luca/0000-0002-9815-1004</t>
  </si>
  <si>
    <t>10.1016/j.gloplacha.2008.01.001</t>
  </si>
  <si>
    <t>WOS:000256631100009</t>
  </si>
  <si>
    <t>Salzmann, U; Haywood, AM; Lunt, DJ; Valdes, PJ; Hill, DJ</t>
  </si>
  <si>
    <t>Salzmann, U.; Haywood, A. M.; Lunt, D. J.; Valdes, P. J.; Hill, D. J.</t>
  </si>
  <si>
    <t>A new global biome reconstruction and data-model comparison for the Middle Pliocene</t>
  </si>
  <si>
    <t>GLOBAL ECOLOGY AND BIOGEOGRAPHY</t>
  </si>
  <si>
    <t>biome; BIOME4; climate change; general circulation model; palaeobotany; palynology; Pliocene; Tertiary; TRIFFID; vegetation</t>
  </si>
  <si>
    <t>CLIMATE-CHANGE; JOINT INVESTIGATIONS; VEGETATION MODEL; ATMOSPHERE; IMPACT; RECORD; GCM; SIMULATIONS; FEEDBACKS; TRANSPORT</t>
  </si>
  <si>
    <t>Aim To produce a robust, comprehensive global biome reconstruction for the Middle Pliocene (c. 3.6-2.6 Ma), which is based on an internally consistent palaeobotanical data set and a state-of-the-art coupled climate-vegetation model. The reconstruction gives a more rigorous picture of climate and environmental change during the Middle Pliocene and provides a new boundary condition for future general circulation model (GCM) studies. Location Global. Methods Compilation of Middle Pliocene vegetation data from 202 marine and terrestrial sites into the comprehensive GIS data base TEVIS (Tertiary Environmental Information System). Translation into an internally consistent classification scheme using 28 biomes. Comparison and synthesis of vegetation reconstruction from palaeodata with the outputs of the mechanistically based BIOME4 model forced by climatology derived from the HadAM3 GCM. Results The model results compare favourably with available palaeodata and highlight the importance of employing vegetation-climate feedbacks and the anomaly method in biome models. Both the vegetation reconstruction from palaeobotanical data and the BIOME4 prediction indicate a general warmer and moister climate for the Middle Pliocene. Evergreen taiga as well as temperate forest and grassland shifted northward, resulting in much reduced tundra vegetation. Warm-temperate forests (with subtropical taxa) spread in mid and eastern Europe and tropical savannas and woodland expanded in Africa and Australia at the expense of deserts. Discrepancies which occurred between data reconstruction and model simulation can be related to: (1) poor spatial model resolution and data coverage; (2) uncertainties in delimiting biomes using climate parameters; or (3) uncertainties in model physics and/or geological boundary conditions. Main conclusions The new global biome reconstruction combines vegetation reconstruction from palaeobotanical proxies with model simulations. It is an important contribution to the further understanding of climate and vegetation changes during the Middle Pliocene warm interval and will enhance our knowledge about how vegetation may change in the future.</t>
  </si>
  <si>
    <t>[Salzmann, U.; Lunt, D. J.; Hill, D. J.] British Antarctic Survey, Geol Sci Div, Cambridge CB3 0ET, England; [Haywood, A. M.] Univ Leeds, Sch Earth &amp; Environm, Leeds LS2 9JT, W Yorkshire, England; [Lunt, D. J.; Valdes, P. J.; Hill, D. J.] Univ Bristol, Sch Geog Sci, Bristol BS8 1SS, Avon, England</t>
  </si>
  <si>
    <t>UK Research &amp; Innovation (UKRI); Natural Environment Research Council (NERC); NERC British Antarctic Survey; University of Leeds; University of Bristol</t>
  </si>
  <si>
    <t>Salzmann, U (corresponding author), British Antarctic Survey, Geol Sci Div, High Cross,Madingley Rd, Cambridge CB3 0ET, England.</t>
  </si>
  <si>
    <t>u.salzmann@bas.ac.uk</t>
  </si>
  <si>
    <t>Valdes, Paul/T-2004-2019; Salzmann, Ulrich/H-9929-2017; Valdes, Paul J/C-4129-2013; Lunt, Daniel/G-9451-2011</t>
  </si>
  <si>
    <t>Valdes, Paul/0000-0002-1902-3283; Salzmann, Ulrich/0000-0001-5598-5327; Lunt, Daniel/0000-0003-3585-6928; Hill, Daniel/0000-0001-5492-3925</t>
  </si>
  <si>
    <t>1466-822X</t>
  </si>
  <si>
    <t>1466-8238</t>
  </si>
  <si>
    <t>GLOBAL ECOL BIOGEOGR</t>
  </si>
  <si>
    <t>Glob. Ecol. Biogeogr.</t>
  </si>
  <si>
    <t>10.1111/j.1466-8238.2008.00381.x</t>
  </si>
  <si>
    <t>Ecology; Geography, Physical</t>
  </si>
  <si>
    <t>287XA</t>
  </si>
  <si>
    <t>WOS:000254948700012</t>
  </si>
  <si>
    <t>Reiss, CS; Cossio, AM; Loeb, V; Demer, DA</t>
  </si>
  <si>
    <t>Reiss, Christian S.; Cossio, Anthony M.; Loeb, Valerie; Demer, David A.</t>
  </si>
  <si>
    <t>Variations in the biomass of Antarctic krill (Euphausia superba) around the South Shetland Islands, 1996-2006</t>
  </si>
  <si>
    <t>ICES JOURNAL OF MARINE SCIENCE</t>
  </si>
  <si>
    <t>acoustic survey; Antarctic krill; biomass densities; Euphousia superba; target identification; target strength.</t>
  </si>
  <si>
    <t>TARGET STRENGTH MEASUREMENTS; MULTIPLE-FREQUENCY METHOD; WAVE BORN APPROXIMATION; ELEPHANT-ISLAND; SCOTIA SEA; IMPROVED PARAMETERIZATION; ACOUSTIC SURVEYS; RECRUITMENT; VARIABILITY; MODEL</t>
  </si>
  <si>
    <t>The time-series of acoustically surveyed Antarctic krill (Euphausia superba) biomass near the South Shetland Islands (SSI) between 1996 and 2006 is re-estimated using a validated physics-based model of target strength (TS), and a species-discrimination algorithm based on the length-range of krill in plankton samples to identify krill acoustically, derived from TS-model predictions. The SSI area is surveyed each austral summer by the US Antarctic Marine Living Resources Program, and the acoustic data are used to examine trends in krill biomass and to assess the potential impact of fishing to the reproductive success of land-based predators (seals and penguins). The time-series of recomputed biomass densities varies greatly from that computed using an empirical log-linear TS-model and fixed-ranges of differences in volume-backscattering strengths (Delta S-v), conventionally used to identify krill acoustically. The new acoustic estimates of biomass are significantly correlated with both proportional recruitment and krill abundance estimated from zooplankton samples. Two distinct peaks in biomass (1996 and 2003) are in accord with recruitment events shown by net-based krill time-series. The foundation for the new TS-model and the associated krill-discrimination algorithm, coupled with the agreement between acoustic- and net-survey results, provides strong support for the use of the new analytical technique. Variable biases in the re-estimated krill biomass have been greatly reduced. However, survey variability increased as a result of the increased rejection of acoustic backscatter previously attributed to krill. Management of Southern Ocean krill stocks based on a precautionary approach may therefore result in decreased allocations of krill, given its dependence on the variability of survey estimates.</t>
  </si>
  <si>
    <t>[Reiss, Christian S.; Cossio, Anthony M.; Demer, David A.] SW Fisheries Ctr, La Jolla, CA 92037 USA; [Loeb, Valerie] Moss Landing Marine Labs, Moss Landing, CA 95039 USA</t>
  </si>
  <si>
    <t>Moss Landing Marine Laboratories</t>
  </si>
  <si>
    <t>Reiss, CS (corresponding author), SW Fisheries Ctr, 8604 La Jolla Shores Dr, La Jolla, CA 92037 USA.</t>
  </si>
  <si>
    <t>christian.reiss@noaa.gov</t>
  </si>
  <si>
    <t>Cossio, Anthony/HLX-3335-2023; , David/ABC-8990-2022</t>
  </si>
  <si>
    <t>, David/0000-0001-5083-8854</t>
  </si>
  <si>
    <t>1054-3139</t>
  </si>
  <si>
    <t>ICES J MAR SCI</t>
  </si>
  <si>
    <t>ICES J. Mar. Sci.</t>
  </si>
  <si>
    <t>10.1093/icesjms/fsn033</t>
  </si>
  <si>
    <t>Fisheries; Marine &amp; Freshwater Biology; Oceanography</t>
  </si>
  <si>
    <t>300IG</t>
  </si>
  <si>
    <t>WOS:000255816900001</t>
  </si>
  <si>
    <t>Janzhura, AS; Troshichev, OA</t>
  </si>
  <si>
    <t>Janzhura, A. S.; Troshichev, O. A.</t>
  </si>
  <si>
    <t>Determination of the running quiet daily geomagnetic variation</t>
  </si>
  <si>
    <t>JOURNAL OF ATMOSPHERIC AND SOLAR-TERRESTRIAL PHYSICS</t>
  </si>
  <si>
    <t>disturbed magnetic variations; magnetic quiet day reference; on-line calculation method</t>
  </si>
  <si>
    <t>A new automatic running method for derivation of the quiet daily geomagnetic variation-quiet day curve (QDC) is described. The method consists in the automatic distinction of the quietest periods using the geomagnetic variations parameterization, calculation of the proper quiet daily variation for certain days, reconstruction of QDC for each day of the elapsed period and extrapolation of QDC for the subsequent period. The method ensures statistically reliable QDCs during the epoch of the solar activity maximum if the time interval used for derivation of QDC is not less than 30 days. The method of the running QDC calculation implies the uninterrupted calculation of the QDC resulting from the continuous 1-day forward shift of the 30-day interval. The method makes it possible to derive automatically and on-line the quiet daily variation in the polar caps, where northward interplanetary magnetic field can generate large magnetic disturbances during periods of planetary magnetic quiescence. This is the main advantage of the running QDC method over other known methods. It is shown that along with the seasonal (from month to month) and the solar cycle (from year to year) changes, the QDC amplitude is modified on a time scale less then a month following solar activity flashes. (C) 2008 Elsevier Ltd. All rights reserved.</t>
  </si>
  <si>
    <t>[Janzhura, A. S.; Troshichev, O. A.] Arctic &amp; Antarctic Res Inst, St Petersburg 199397, Russia</t>
  </si>
  <si>
    <t>Troshichev, OA (corresponding author), Arctic &amp; Antarctic Res Inst, St Petersburg 199397, Russia.</t>
  </si>
  <si>
    <t>olegtro@aari.nw.ru</t>
  </si>
  <si>
    <t>1364-6826</t>
  </si>
  <si>
    <t>1879-1824</t>
  </si>
  <si>
    <t>J ATMOS SOL-TERR PHY</t>
  </si>
  <si>
    <t>J. Atmos. Sol.-Terr. Phys.</t>
  </si>
  <si>
    <t>10.1016/j.jastp.2007.11.004</t>
  </si>
  <si>
    <t>Geochemistry &amp; Geophysics; Meteorology &amp; Atmospheric Sciences</t>
  </si>
  <si>
    <t>302HK</t>
  </si>
  <si>
    <t>WOS:000255959200002</t>
  </si>
  <si>
    <t>de Bruyn, PJN; Tosh, CA; Bester, MN</t>
  </si>
  <si>
    <t>de Bruyn, P. J. Nico; Tosh, Cheryl A.; Bester, Marthan N.</t>
  </si>
  <si>
    <t>Sexual harassment of a king penguin by an Antarctic fur seal</t>
  </si>
  <si>
    <t>JOURNAL OF ETHOLOGY</t>
  </si>
  <si>
    <t>animal behaviour; Aptenodytes patagonicus; Arctocephalus gazella; Marion Island; sexual coercion</t>
  </si>
  <si>
    <t>ARCTOCEPHALUS-GAZELLA; MIROUNGA-ANGUSTIROSTRIS; TROPICALIS; BEHAVIOR; PUPS</t>
  </si>
  <si>
    <t>Males of gregarious pinnipeds are often aggressive to conspecifics and sexual coercion of females is commonplace. Males of some pinniped species have been known to attempt interspecific copulation, occasionally being successful in producing hybrid offspring. The most extreme case of interspecific sexual coercion reported concerned species from different families. We report a case of interspecific sexual harassment bridging the rank of vertebrate class.</t>
  </si>
  <si>
    <t>[de Bruyn, P. J. Nico; Tosh, Cheryl A.; Bester, Marthan N.] Univ Pretoria, Dept Zool &amp; Entomol, Mammal Res Inst, ZA-0002 Pretoria, South Africa</t>
  </si>
  <si>
    <t>de Bruyn, PJN (corresponding author), Univ Pretoria, Dept Zool &amp; Entomol, Mammal Res Inst, ZA-0002 Pretoria, South Africa.</t>
  </si>
  <si>
    <t>pjndebruyn@zoology.up.ac.za</t>
  </si>
  <si>
    <t>Tosh, Cheryl/D-5623-2016; de Bruyn, P. J. Nico/E-4176-2010; Bester, Marthán N/E-5387-2010</t>
  </si>
  <si>
    <t>Tosh, Cheryl/0000-0003-0243-5422; de Bruyn, P. J. Nico/0000-0002-9114-9569;</t>
  </si>
  <si>
    <t>0289-0771</t>
  </si>
  <si>
    <t>1439-5444</t>
  </si>
  <si>
    <t>J ETHOL</t>
  </si>
  <si>
    <t>J. Ethol.</t>
  </si>
  <si>
    <t>10.1007/s10164-007-0073-9</t>
  </si>
  <si>
    <t>Behavioral Sciences; Zoology</t>
  </si>
  <si>
    <t>290HS</t>
  </si>
  <si>
    <t>WOS:000255114500014</t>
  </si>
  <si>
    <t>Krishnamurthy, A; Moore, JK; Doney, SC</t>
  </si>
  <si>
    <t>Krishnamurthy, Aparna; Moore, J. Keith; Doney, Scott C.</t>
  </si>
  <si>
    <t>The effects of dilution and mixed layer depth on deliberate ocean iron fertilization: 1-D simulations of the southern ocean iron experiment (SOFeX)</t>
  </si>
  <si>
    <t>JOURNAL OF MARINE SYSTEMS</t>
  </si>
  <si>
    <t>SOFeX; southern ocean; HNLC; marine ecosystem model; nutrient limitation; light limitation; mixed layer depth; Phytoplankton community; iron fertilization</t>
  </si>
  <si>
    <t>PRIMARY PRODUCTIVITY; PHYTOPLANKTON BLOOM; KERGUELEN-ISLANDS; TIME-SERIES; MODEL; BIOMASS; EXPORT; LIGHT; VARIABILITY; PARAMETERS</t>
  </si>
  <si>
    <t>To better understand the role of iron in driving marine ecosystems, the Southern Ocean Iron Experiment (SOFeX) fertilized two surface water patches with iron north and south of the Antarctic Polar Front Zone (APFZ). Using 1 D coupled biological-physical simulations, we examine the biogeochemical dynamics that occurred both inside and outside of the fertilized patches during and shortly after the SOFeX field campaign. We focus, in particular, on three main issues governing the biological response to deliberate iron fertilization: the interaction among phytoplankton, light, macronutrient and iron limitation; dilution and lateral mixing between the fertilized patch and external, unfertilized waters; and the effect of varying mixed layer depth on the light field. At the patch south of the APFZ, sensitivity simulations with no dilution results in the maximum bloom magnitude, whereas dilution with external water extends the development of the north patch bloom by relieving silicon limitation. In model sensitivity studies for both sites, maximum chlorophyll concentration and dissolved inorganic carbon depletion inside the fertilized patches are inversely related to mixed layer depth, similar to the patterns observed across a number of iron fertilization field experiments. Our results suggest that Southern Ocean phytoplankton blooms resulting from natural or deliberate iron fertilization will tend to become iron-light co-limited unless the mixed layer depth is quite shallow. (c) 2007 Elsevier B.V. All rights reserved.</t>
  </si>
  <si>
    <t>[Krishnamurthy, Aparna; Moore, J. Keith] Univ Calif Irvine, Earth Syst Sci Dept, Irvine, CA 92697 USA; [Doney, Scott C.] Woods Hole Oceanog Inst, Dept Marine Chem &amp; Geochem, Woods Hole, MA 02543 USA</t>
  </si>
  <si>
    <t>University of California System; University of California Irvine; Woods Hole Oceanographic Institution</t>
  </si>
  <si>
    <t>Krishnamurthy, A (corresponding author), Univ Calif Irvine, Earth Syst Sci Dept, Irvine, CA 92697 USA.</t>
  </si>
  <si>
    <t>aparnak@uci.edu</t>
  </si>
  <si>
    <t>Doney, Scott/F-9247-2010</t>
  </si>
  <si>
    <t>Doney, Scott/0000-0002-3683-2437</t>
  </si>
  <si>
    <t>0924-7963</t>
  </si>
  <si>
    <t>J MARINE SYST</t>
  </si>
  <si>
    <t>J. Mar. Syst.</t>
  </si>
  <si>
    <t>10.1016/j.jmarsys.2007.07.002</t>
  </si>
  <si>
    <t>Geosciences, Multidisciplinary; Marine &amp; Freshwater Biology; Oceanography</t>
  </si>
  <si>
    <t>Geology; Marine &amp; Freshwater Biology; Oceanography</t>
  </si>
  <si>
    <t>290RA</t>
  </si>
  <si>
    <t>Green Submitted, Green Published</t>
  </si>
  <si>
    <t>WOS:000255138700008</t>
  </si>
  <si>
    <t>Guerstein, GR; Guler, MV; Williams, GL; Fensome, RA; Chiesa, JO</t>
  </si>
  <si>
    <t>Guerstein, G. R.; Guler, M. V.; Williams, G. L.; Fensome, R. A.; Chiesa, J. O.</t>
  </si>
  <si>
    <t>Middle Palaeogene dinoflagellate cysts from Tierra del Fuego, Argentina: biostratigraphy and palaeoenvironments</t>
  </si>
  <si>
    <t>JOURNAL OF MICROPALAEONTOLOGY</t>
  </si>
  <si>
    <t>Dinoflagellates; Palaeogene; biostratigraphy; palaeoenvironments; Argentina</t>
  </si>
  <si>
    <t>LATE EOCENE; SCOTIA SEA; STRATIGRAPHY; EVOLUTION; ANTARCTICA; GLACIATION</t>
  </si>
  <si>
    <t>Palynological data from four surface sections in northern Tierra del Fuego, southern Argentina, provide a biostratigraphical and palaeoenvironmental framework for the lower member of the La Despedida Formation and the Cabo Pena Formation in their type areas. Selected dinoflagellate cyst (dinocyst) events indicate that the age of the lower member of the La Despedida Formation is Middle Eocene and that of the Cabo Pena Formation is Late Eocene-earliest Oligocene. The age assigned to the La Despedida Formation agrees with determinations based on calcareous microfossils, but there is a potential discrepancy regarding the Cabo Pena Formation. According to recent stratigraphic studies, the Cabo Domingo Group, which includes the Cabo Pena Formation, is Late Eocene-Miocene in age. The palynomorph assemblages from the lower member of the La Despedida Formation contain the endemic 'Transantarctic Flora', which reflects marginal marine conditions. The maximum abundance of Enneadocysta spp. reflects more open-sea conditions and a warming event during the late Middle Eocene. The lower part of the Cabo Pena Formation has a high ratio of dinocysts to sporomorphs and an abundance of Nematosphaeropsis lemniscata, Reticulatosphaera actinocoronata and Impagidinium spp., suggesting an oceanic to outer neritic environment. Abundant Gelatia inflata and protoperidiniacean cysts indicate cool surface waters rich in dissolved nutrients. These cold-water markers may reflect the development of the Antarctic Circumpolar Current, an important event in the transition from a greenhouse to an icehouse climate mode. Toward the top of the sections, the lower ratios of dinocysts to sporomorphs, as well as the composition of the dinocyst assemblages, reflect a neritic rather than an oceanic setting. This palynological change may be due to eustatic sea-level lowering caused by cooling during the latest Eocene-earliest Oligocene. A new species, Spiniferites scalenus, is described and the new combination Lingulodinium echinatum proposed; an emendation for the latter species is also proposed.</t>
  </si>
  <si>
    <t>[Guerstein, G. R.; Guler, M. V.] Univ Nacl Sur, Dept Geol, Consejo Nacl Invest Cient &amp; Tecn, INGEOSUR, RA-8000 Bahia Blanca, Buenos Aires, Argentina; [Williams, G. L.; Fensome, R. A.] Geol Survey Canada Atlantic, Nat Resources Canada, Dartmouth, NS B2Y 4A2, Canada; [Chiesa, J. O.] Univ Nacl San Luis, Dept Geol, RA-5700 San Luis, Argentina</t>
  </si>
  <si>
    <t>National University of the South; Consejo Nacional de Investigaciones Cientificas y Tecnicas (CONICET); Natural Resources Canada; Lands &amp; Minerals Sector - Natural Resources Canada; Geological Survey of Canada; Universidad Nacional de San Luis</t>
  </si>
  <si>
    <t>Guerstein, GR (corresponding author), Univ Nacl Sur, Dept Geol, Consejo Nacl Invest Cient &amp; Tecn, INGEOSUR, San Juan 670, RA-8000 Bahia Blanca, Buenos Aires, Argentina.</t>
  </si>
  <si>
    <t>gmguerst@criba.edu.ar</t>
  </si>
  <si>
    <t>0262-821X</t>
  </si>
  <si>
    <t>2041-4978</t>
  </si>
  <si>
    <t>J MICROPALAEONTOL</t>
  </si>
  <si>
    <t>J. Micropalaentol.</t>
  </si>
  <si>
    <t>10.1144/jm.27.1.75</t>
  </si>
  <si>
    <t>313KJ</t>
  </si>
  <si>
    <t>WOS:000256739200006</t>
  </si>
  <si>
    <t>Lenn, YD; Chereskin, TK; Sprintall, J</t>
  </si>
  <si>
    <t>Lenn, Yueng-Djern; Chereskin, Teresa K.; Sprintall, Janet</t>
  </si>
  <si>
    <t>Improving estimates of the Antarctic Circumpolar Current streamlines in Drake Passage</t>
  </si>
  <si>
    <t>SOUTHERN-OCEAN; FLOAT OBSERVATIONS; VARIABILITY; TOPEX/POSEIDON; CIRCULATION; TRANSPORT; FRONTS; LAYER; HEAT</t>
  </si>
  <si>
    <t>Accurately resolving the mean Antarctic Circumpolar Current (ACC) is essential for determining Southern Ocean eddy fluxes that are important to the global meridional overturning circulation. Previous estimates of the mean ACC have been limited by the paucity of Southern Ocean observations. A new estimate of the mean surface ACC in Drake Passage is presented that combines sea surface height anomalies measured by satellite altimetry with a recent dataset of repeat high-resolution acoustic Doppler current profiler observations. A mean streamfunction (surface height field), objectively mapped from the mean currents, is used to validate two recent dynamic height climatologies. The new streamfunction has narrower and stronger ACC fronts separated by quiescent zones of much weaker flow, thereby improving on the resolution of ACC fronts observed in the other climatologies. Distinct streamlines can be associated with particular ACC fronts and tracked in time-dependent maps of dynamic height. This analysis shows that varying degrees of topographic control are evident in the preferred paths of the ACC fronts through Drake Passage.</t>
  </si>
  <si>
    <t>[Lenn, Yueng-Djern; Chereskin, Teresa K.; Sprintall, Janet] Univ Calif San Diego, Scripps Inst Oceanog, La Jolla, CA 92093 USA</t>
  </si>
  <si>
    <t>Lenn, YD (corresponding author), Bangor Univ, Sch Ocean Sci, Menai Bridge, Anglesey LL59 5AB, Wales.</t>
  </si>
  <si>
    <t>yueng@coast.ucsd.edu</t>
  </si>
  <si>
    <t>Lenn, Yueng-Djern/0000-0001-6031-523X; Chereskin, Teresa/0000-0003-1214-0978</t>
  </si>
  <si>
    <t>10.1175/2007JPO3834.1</t>
  </si>
  <si>
    <t>302FR</t>
  </si>
  <si>
    <t>WOS:000255954700005</t>
  </si>
  <si>
    <t>Wilchinsky, AV; Feltham, DL</t>
  </si>
  <si>
    <t>Wilchinsky, Alexander V.; Feltham, Daniel L.</t>
  </si>
  <si>
    <t>Generation of a buoyancy-driven coastal current by an Antarctic polynya</t>
  </si>
  <si>
    <t>DENSE WATER; BAROCLINIC INSTABILITY; OFFSHORE TRANSPORT; SLOPING BOTTOM; SHELF WATER; MIXED-LAYER; MODEL; SIMULATIONS; SUBMARINE; STABILITY</t>
  </si>
  <si>
    <t>Descent and spreading of high salinity water generated by salt rejection during sea ice formation in an Antarctic coastal polynya is studied using a hydrostatic, primitive equation three-dimensional ocean model called the Proudman Oceanographic Laboratory Coastal Ocean Modeling System (POLCOMS). The shape of the polynya is assumed to be a rectangle 100 km long and 30 km wide, and the salinity flux into the polynya at its surface is constant. The model has been run at high horizontal spatial resolution (500 m), and numerical simulations reveal a buoyancy-driven coastal current. The coastal current is a robust feature and appears in a range of simulations designed to investigate the influence of a sloping bottom, variable bottom drag, variable vertical turbulent diffusivities, higher salinity flux, and an offshore position of the polynya. It is shown that bottom drag is the main factor determining the current width. This coastal current has not been produced with other numerical models of polynyas, which may be because these models were run at coarser resolutions. The coastal current becomes unstable upstream of its front when the polynya is adjacent to the coast. When the polynya is situated offshore, an unstable current is produced from its outset owing to the capture of cyclonic eddies. The effect of a coastal protrusion and a canyon on the current motion is investigated. In particular, due to the convex shape of the coastal protrusion, the current sheds a dipolar eddy.</t>
  </si>
  <si>
    <t>[Wilchinsky, Alexander V.; Feltham, Daniel L.] UCL, Ctr Polar Observ &amp; Modelling, Dept Earth Sci, London WC1E 6BT, England; [Feltham, Daniel L.] British Antarctic Survey, Cambridge CB3 0ET, England</t>
  </si>
  <si>
    <t>University of London; University College London; UK Research &amp; Innovation (UKRI); Natural Environment Research Council (NERC); NERC British Antarctic Survey</t>
  </si>
  <si>
    <t>Wilchinsky, AV (corresponding author), UCL, Ctr Polar Observ &amp; Modelling, Dept Earth Sci, Gower St, London WC1E 6BT, England.</t>
  </si>
  <si>
    <t>aw@cpom.ucl.ac.uk</t>
  </si>
  <si>
    <t>Achterberg, Eric P/C-5820-2009</t>
  </si>
  <si>
    <t>Feltham, Daniel/0000-0003-2289-014X</t>
  </si>
  <si>
    <t>10.1175/2007JPO3831.1</t>
  </si>
  <si>
    <t>WOS:000255954700006</t>
  </si>
  <si>
    <t>Whitehead, JA; Wang, W</t>
  </si>
  <si>
    <t>Whitehead, J. A.; Wang, Wei</t>
  </si>
  <si>
    <t>A laboratory model of vertical ocean circulation driven by mixing</t>
  </si>
  <si>
    <t>SANTA-MONICA BASIN; ANTARCTIC BOTTOM WATER; CONVECTION DRIVEN; TRACER EXPERIMENT; SINKING REGIONS; NORTH-ATLANTIC; ABYSSAL OCEAN; PYCNOCLINE; ENERGETICS; BOUNDARY</t>
  </si>
  <si>
    <t>A model of deep ocean circulation driven by turbulent mixing is produced in a long, rectangular laboratory tank. The salinity difference is substituted for the thermal difference between tropical and polar regions. Freshwater gently flows in at the top of one end, dense water enters at the same rate at the top of the other end, and an overflow in the middle removes the same amount of surface water as is pumped in. Mixing is provided by a rod extending from top to bottom of the tank and traveling back and forth at constant speed with Reynolds numbers &gt; 500. A stratified upper layer (thermocline) deepens from the mixing and spreads across the entire tank. Simultaneously, a turbulent plume (deep ocean overflow) from a dense-water source descends through the layer and supplies bottom water, which spreads over the entire tank floor and rises into the upper layer to arrest the upper-layer deepening. Data are taken over a wide range of parameters and compared to scaling theory, energetic considerations, and simple models of turbulently mixed fluid. There is approximate agreement with a simple theory for Reynolds number &gt; 1000 in experiments with a tank depth less than the thermocline depth. A simple argument shows that mixing and plume potential energy flux rates are equal in magnitude, and it is suggested that the same is approximately true for the ocean.</t>
  </si>
  <si>
    <t>[Whitehead, J. A.] Woods Hole Oceanog Inst, Dept Phys Oceanog, Woods Hole, MA 02543 USA; [Wang, Wei] Oceanog Univ China, Phys Oceanog Lab, Qingdao, Peoples R China</t>
  </si>
  <si>
    <t>Woods Hole Oceanographic Institution; Ocean University of China</t>
  </si>
  <si>
    <t>Whitehead, JA (corresponding author), Woods Hole Oceanog Inst, Dept Phys Oceanog, MS 21, Woods Hole, MA 02543 USA.</t>
  </si>
  <si>
    <t>jwhitehead@whoi.edu</t>
  </si>
  <si>
    <t>10.1175/2007JPO3805.1</t>
  </si>
  <si>
    <t>WOS:000255954700010</t>
  </si>
  <si>
    <t>Bridge, PD; Waller, JM; Davies, D; Buddie, AG</t>
  </si>
  <si>
    <t>Bridge, P. D.; Waller, J. M.; Davies, D.; Buddie, A. G.</t>
  </si>
  <si>
    <t>Variability of Colletotrichum kahawae in relation to other Colletotrichum species from tropical perennial crops and the development of diagnostic techniques</t>
  </si>
  <si>
    <t>JOURNAL OF PHYTOPATHOLOGY</t>
  </si>
  <si>
    <t>coffee; coffee berry disease; Colletotrichum gloeosporioides; molecular analysis; vegetative compatibility grouping</t>
  </si>
  <si>
    <t>COFFEE BERRY DISEASE; VEGETATIVE COMPATIBILITY; DNA POLYMORPHISMS; MITOCHONDRIAL-DNA; PCR PRIMERS; STRAWBERRY; PATHOGEN; STRAINS; DIFFERENTIATION; GLOEOSPORIOIDES</t>
  </si>
  <si>
    <t>Twenty-six isolates of Colletotrichum kahawae, the causal agent of coffee berry disease, from coffee in Africa, and 25 isolates, mostly of Colletotrichum gloeosporioides, from coffee and other tropical perennial crops, were examined for the ability to metabolize citrate and tartrate and their molecular genetic variability was assessed using restriction fragment length polymorphisms (RFLP) and variable number tandem repeats (VNTR). Twenty-four isolates of C. kahawae were also assessed using amplified fragment length polymorphisms (AFLP). Vegetative compatibility within a collection of nine isolates, including two of C. gloeosporioides was also assessed. All isolates of C. kahawae from across Africa failed to metabolize citrate or tartrate, but all other isolates metabolized one or both. Colletotrichum kahawae isolates also showed minimal variability using the molecular techniques with two isolates from Cameroon showing slightly different banding patterns in RFLP analysis. All other isolates had variable VNTR and RFLP banding patterns. AFLP analysis failed to detect variability within 12 isolates from Kenya, but did detect differences between isolates from other countries. Five isolates from Kenya were vegetatively compatible but differed from two from Cameroon and from two C. gloeosporioides isolates. Results demonstrate some geographic variability within C. kahawae isolates, although this is small, probably due to the relatively young age of C. kahawae populations. The biochemical and molecular techniques used showed clear differences from other Colletotrichum isolates, and can be used to distinguish the species. Lack of citrate and tartrate metabolism provides a readily applicable diagnostic method.</t>
  </si>
  <si>
    <t>[Waller, J. M.; Davies, D.; Buddie, A. G.] CABI Europe UK, Surrey TW20 9TY, England; [Bridge, P. D.] British Antarctic Survey, NERC, Cambridge CB3 0ET, England</t>
  </si>
  <si>
    <t>Waller, JM (corresponding author), CABI Europe UK, Surrey TW20 9TY, England.</t>
  </si>
  <si>
    <t>j.waller@cabi.org</t>
  </si>
  <si>
    <t>BLACKWELL PUBLISHING</t>
  </si>
  <si>
    <t>9600 GARSINGTON RD, OXFORD OX4 2DQ, OXON, ENGLAND</t>
  </si>
  <si>
    <t>0931-1785</t>
  </si>
  <si>
    <t>J PHYTOPATHOL</t>
  </si>
  <si>
    <t>J. Phytopathol.</t>
  </si>
  <si>
    <t>10.1111/j.1439-0434.2007.01354.x</t>
  </si>
  <si>
    <t>285XP</t>
  </si>
  <si>
    <t>WOS:000254809800004</t>
  </si>
  <si>
    <t>Chew, DM; Flowerdew, MJ; Page, LM; Crowley, QG; Daly, JS; Cooper, M; Whitehouse, MJ</t>
  </si>
  <si>
    <t>Chew, D. M.; Flowerdew, M. J.; Page, L. M.; Crowley, Q. G.; Daly, J. S.; Cooper, M.; Whitehouse, M. J.</t>
  </si>
  <si>
    <t>The tectonothermal evolution and provenance of the Tyrone Central Inlier, Ireland: Grampian imbrication of an outboard Laurentian microcontinent?</t>
  </si>
  <si>
    <t>JOURNAL OF THE GEOLOGICAL SOCIETY</t>
  </si>
  <si>
    <t>DALRADIAN SUPERGROUP; FACIES METAMORPHISM; DETRITAL ZIRCON; PHASE-DIAGRAMS; CONSTRAINTS; CALEDONIDES; SCOTLAND; OROGENY; AGE; EXHUMATION</t>
  </si>
  <si>
    <t>The Tyrone Central Inlier is a metamorphic terrane of uncertain affinity situated outboard of the main Dalradian outcrop (south of the Fair Head-Clew Bay Line) and could represent sub-arc basement to part of the enigmatic Midland Valley Terrane. Using a combination of isotopic, structural and petrographic evidence, the tectonothermal evolution of the Tyrone Central Inlier was investigated. Sillimanite-bearing 14 metamorphic assemblages (c. 670 degrees C, 6.8 kbar) and leucosomes in paragneisses are cut by granite pegmatites, which post-date two deformation fabrics. The leucosomes yield a weighted average Pb-207/Ph-206 zircon age of 467 +/- 12 Ma whereas the main fabric yields a 40Ar-39Ar biotite cooling age of 468 +/- 1.4 Ma. The pegmatites yield 457 +/- 7 Ma and 458 +/- 7 Ma Rb-Sr muscovite-feldspar ages and 40Ar-39Ar step-heating plateaux of 466 +/- 1 Ma and 468 +/- 1 Ma, respectively. The metasedimentary rocks yield Palaeoproterozoic Sm-Nd model ages and laser ablation inductively coupled plasma mass spectrometry detrital zircon U-Pb analyses from a psammitic gneiss yield age populations at 1.05-1.2, 1.5, 1.8, 2.7 and 3.1 Ga. Combined, these data permit correlation of the Tyrone Central Inlier with either the Argyll or the Southern Highland Group of the Dalradian Supergroup. The inlier was thus part of Laurentia onto which the Tyrone ophiolite was obducted.</t>
  </si>
  <si>
    <t>[Chew, D. M.] Univ Dublin Trinity Coll, Dept Geol, Dublin 2, Ireland; [Flowerdew, M. J.] British Antarctic Survey, Cambridge CB3 0ET, England; [Page, L. M.] Lund Univ, Dept Geol, S-22362 Lund, Sweden; [Crowley, Q. G.] Kingsley Dunham Ctr, NERC Isotope Geosci Lab, Nottingham NG12 5GG, England; [Daly, J. S.] Univ Coll Dublin, UCD Sch Geol Sci, Dublin 4, Ireland; [Cooper, M.] Geol Survey No Ireland, Belfast BT9 5BF, Antrim, North Ireland; [Whitehouse, M. J.] Swedish Museum Nat Hist, Lab Isotope Geol, S-10405 Stockholm, Sweden</t>
  </si>
  <si>
    <t>Trinity College Dublin; UK Research &amp; Innovation (UKRI); Natural Environment Research Council (NERC); NERC British Antarctic Survey; Lund University; UK Research &amp; Innovation (UKRI); Natural Environment Research Council (NERC); NERC British Geological Survey; University College Dublin; Swedish Museum of Natural History</t>
  </si>
  <si>
    <t>Chew, DM (corresponding author), Univ Dublin Trinity Coll, Dept Geol, Dublin 2, Ireland.</t>
  </si>
  <si>
    <t>chewd@tcd.ie</t>
  </si>
  <si>
    <t>Crowley, Quentin/AAZ-5734-2021; Chew, David M/B-7828-2008; Daly, J. Stephen/B-4836-2012; Crowley, Quentin G./F-1189-2010; Whitehouse, Martin/E-1425-2013</t>
  </si>
  <si>
    <t>Chew, David M/0000-0002-6940-1035; Daly, J. Stephen/0000-0001-6390-905X; Whitehouse, Martin/0000-0003-2227-577X; Flowerdew, Michael/0000-0002-9710-2593</t>
  </si>
  <si>
    <t>GEOLOGICAL SOC PUBL HOUSE</t>
  </si>
  <si>
    <t>BATH</t>
  </si>
  <si>
    <t>UNIT 7, BRASSMILL ENTERPRISE CENTRE, BRASSMILL LANE, BATH BA1 3JN, AVON, ENGLAND</t>
  </si>
  <si>
    <t>0016-7649</t>
  </si>
  <si>
    <t>2041-479X</t>
  </si>
  <si>
    <t>J GEOL SOC LONDON</t>
  </si>
  <si>
    <t>J. Geol. Soc.</t>
  </si>
  <si>
    <t>10.1144/0016-76492007-120</t>
  </si>
  <si>
    <t>304FB</t>
  </si>
  <si>
    <t>WOS:000256094300007</t>
  </si>
  <si>
    <t>Buitenhuis, ET; Pangerc, T; Franklin, DJ; Le Quéré, C; Malin, G</t>
  </si>
  <si>
    <t>Buitenhuis, Erik T.; Pangerc, Tanja; Franklin, Daniel J.; Le Quere, Corinne; Malin, Gill</t>
  </si>
  <si>
    <t>Growth rates of six coccolithophorid strains as a function of temperature</t>
  </si>
  <si>
    <t>LIMNOLOGY AND OCEANOGRAPHY</t>
  </si>
  <si>
    <t>EMILIANIA-HUXLEYI; GLOBAL OCEAN; BLOOMS; DYNAMICS; ECOLOGY; CYCLE</t>
  </si>
  <si>
    <t>We determined growth rates of six coccolithophorid strains (five species) as a function of temperature. We grew four strains (three species: Emiliania huxleyi, Gephyrocapsa oceanica, and two strains of Calcidiscus leptoporus) at six temperatures between 6 degrees C and 25 degrees C, Coccolithus braarudii at four temperatures, and Syracosphaera pulchra at two temperatures. The growth rates were to a large extent consistent with the biogeographical distributions of these species. C. braarudii grows relatively fast at low temperatures, the two strains of C. leptoporus have temperature optima of 12 degrees C and 20 degrees C, E. huxleyi has an optimum at 20 degrees C, and the growth rate of G. oceanica (and S. pulchra) increases up to the highest tested temperature of 25 degrees C. This shows that maximum growth rate is an important factor in controlling distribution in the ocean, but it is not the only one.</t>
  </si>
  <si>
    <t>[Buitenhuis, Erik T.; Pangerc, Tanja; Franklin, Daniel J.; Le Quere, Corinne; Malin, Gill] Univ E Anglia, Lab Global Marine &amp; Atmospher Chem, Sch Environm Sci, Norwich NR4 7TJ, Norfolk, England; [Buitenhuis, Erik T.; Pangerc, Tanja; Le Quere, Corinne] British Antarctic Survey, Cambridge CB3 0ET, England</t>
  </si>
  <si>
    <t>University of East Anglia; UK Research &amp; Innovation (UKRI); Natural Environment Research Council (NERC); NERC British Antarctic Survey</t>
  </si>
  <si>
    <t>Buitenhuis, ET (corresponding author), Univ E Anglia, Lab Global Marine &amp; Atmospher Chem, Sch Environm Sci, Norwich NR4 7TJ, Norfolk, England.</t>
  </si>
  <si>
    <t>martinburo@email.com</t>
  </si>
  <si>
    <t>Le Quéré, Corinne/C-2631-2017; Franklin, Daniel J/A-4186-2010; Malin, Gill/C-6985-2009; Buitenhuis, Erik/A-7692-2012</t>
  </si>
  <si>
    <t>Le Quéré, Corinne/0000-0003-2319-0452; Buitenhuis, Erik/0000-0001-6274-5583; Malin, Gill/0000-0002-3639-9215</t>
  </si>
  <si>
    <t>0024-3590</t>
  </si>
  <si>
    <t>1939-5590</t>
  </si>
  <si>
    <t>LIMNOL OCEANOGR</t>
  </si>
  <si>
    <t>Limnol. Oceanogr.</t>
  </si>
  <si>
    <t>10.4319/lo.2008.53.3.1181</t>
  </si>
  <si>
    <t>Limnology; Oceanography</t>
  </si>
  <si>
    <t>309ZO</t>
  </si>
  <si>
    <t>WOS:000256498900026</t>
  </si>
  <si>
    <t>Baena, AMRY; Fowler, SW; Warnau, M</t>
  </si>
  <si>
    <t>Rodriguez y Baena, Alessia M.; Fowler, Scott W.; Warnau, Michel</t>
  </si>
  <si>
    <t>Could krill schools significantly bias 234Th-based carbon flux models?</t>
  </si>
  <si>
    <t>PARTICULATE ORGANIC-CARBON; EUPHAUSIA-SUPERBA; MEGANYCTIPHANES-NORVEGICA; NORTHERN KRILL; UPPER OCEAN; TH-234/U-238 DISEQUILIBRIUM; ANTARCTIC KRILL; EXPORT FLUXES; SOUTHERN; EXOSKELETONS</t>
  </si>
  <si>
    <t>To test the recent hypothesis that krill schools and their molting can hinder the accuracy of Th-234-based particle flux models under specific conditions, radiotracer experiments were conducted with northern krill, Meganyctiphanes norvegica, to examine how Th-234 uptake and release kinetics may affect residual 234Th concentrations in seawater. Krill rapidly took up 234Th from seawater, reaching a steady-state concentration factor of similar to 180 in less than 1 week, and strongly retained the accumulated radionuclide until molting occurred. The nine molting events observed during the 18-d experimental period indicated that similar to 50% of krill whole-body Th-234 activity was associated with the cast exoskeleton, and that a corresponding amount was rapidly adsorbed postecdysis on the newly formed cuticle. In regions characterized by the occurrence of high planktonic crustacean biomass, failure to link the presence of organisms with their effects on Th-234 dynamics in the water column may induce significant biases (in some circumstances, up to one order of magnitude) in Th-234-derived particulate organic carbon flux estimations or sediment trap efficiency calculations based on this method. However, because of the patchy distribution of dense aggregations of krill, the overall likelihood of such dramatic modeling artifacts is estimated to be relatively low (&lt;= 5% per sampling time).</t>
  </si>
  <si>
    <t>[Rodriguez y Baena, Alessia M.; Warnau, Michel] Marine Environm Labs, IAEA, MC-98000 Monaco, Monaco; [Fowler, Scott W.] SUNY Stony Brook, Rosenstiel Sch Marine &amp; Atmospher Sci, Stony Brook, NY 11794 USA</t>
  </si>
  <si>
    <t>State University of New York (SUNY) System; State University of New York (SUNY) Stony Brook</t>
  </si>
  <si>
    <t>Baena, AMRY (corresponding author), Int Commiss Sci Explorat Mediterranean Sea CIESM, 16 Bld Suisse, MC-98000 Monaco, Monaco.</t>
  </si>
  <si>
    <t>aryb@yahoo.com</t>
  </si>
  <si>
    <t>Fowler, Scott W./I-4663-2019</t>
  </si>
  <si>
    <t>10.4319/lo.2008.53.3.1186</t>
  </si>
  <si>
    <t>WOS:000256498900027</t>
  </si>
  <si>
    <t>Pike, J; Allen, CS; Leventer, A; Stickley, CE; Pudsey, CJ</t>
  </si>
  <si>
    <t>Pike, Jennifer; Allen, Claire S.; Leventer, Amy; Stickley, Catherine E.; Pudsey, Carol J.</t>
  </si>
  <si>
    <t>Comparison of contemporary and fossil diatom assemblages from the western Antarctic Peninsula shelf</t>
  </si>
  <si>
    <t>MARINE MICROPALEONTOLOGY</t>
  </si>
  <si>
    <t>Western Antarctic Peninsula; modern diatoms; fossil diatoms; seasonality; taphonomy</t>
  </si>
  <si>
    <t>LAST GLACIAL MAXIMUM; SOUTHERN-OCEAN SEDIMENTS; SEA-ICE EDGE; WATER-COLUMN ASSEMBLAGES; WEDDELL-SEA; SURFACE SEDIMENTS; ATLANTIC SECTOR; ROSS SEA; EAST ANTARCTICA; PRYDZ BAY</t>
  </si>
  <si>
    <t>During the past ten years, the Antarctic Peninsula has been identified as the most rapidly warming region of the Southern Hemisphere and it is important to place this warming in the context of the natural climate and oceanographic variability of the recent geological past. Many biological proxies, such as marine diatom assemblages, have been used to determine Southern Ocean palaeoceanographic conditions during the Late Quaternary, however, few investigations have attempted to link observations of modern floras with the fossil record. In this study we examine a suite of modern austral spring (December 2003) and summer (February 2002) surface water samples from along the western Antarctic Peninsula (WAP) continental shelf and compare these to core-top, surface sediment samples. Using detrended correspondence analysis (DCA) and principal component analysis (PCA) of diatom abundance data we investigate the relationship of contemporary diatom floras with the fossil record. This multivariate analysis reveals that our modern assemblages can be divided into three groups: summer southern WAP sites, summer northern WAP sites, and spring WAP sites. Sea surface temperature (SST) is an important environmental variable for explaining seasonal differences in diatom assemblages between spring and summer, but sea surface salinity (SSS) is more important for understanding temporally-equivalent regional variations in assemblage. Our summer diatom samples are more reminiscent of early season assemblages, reflecting the unusually late sea ice retreat from the region that year. When the modern assemblages are compared to the fossil record, it is clear that most of the important diatoms from the summer assemblage are not preserved into the sediments, and that the fossil record more closely reflects spring assemblages. This observation is important for any future attempts to quantitatively reconstruct palaeoceanographic conditions along the WAP during the Late Quaternary and highlights the need for many more such studies in order to address longer timescales, such as interannual variability, in the context of the fossil record. (c) 2008 Elsevier B.V. All rights reserved.</t>
  </si>
  <si>
    <t>[Pike, Jennifer] Cardiff Univ, Sch Earth &amp; Ocean Sci, Cardiff CF10 3YE, S Glam, Wales; [Allen, Claire S.; Pudsey, Carol J.] British Antarctic Survey, Cambridge CB3 0ET, England; [Leventer, Amy] Colgate Univ, Dept Geol, Hamilton, NY 13346 USA; [Stickley, Catherine E.] Polar Environm Ctr, Norwegian Polar Inst, N-9296 Tromso, Norway</t>
  </si>
  <si>
    <t>Cardiff University; UK Research &amp; Innovation (UKRI); Natural Environment Research Council (NERC); NERC British Antarctic Survey; Colgate University; Norwegian Polar Institute</t>
  </si>
  <si>
    <t>Pike, J (corresponding author), Cardiff Univ, Sch Earth &amp; Ocean Sci, Main Bldg,Pk Pl, Cardiff CF10 3YE, S Glam, Wales.</t>
  </si>
  <si>
    <t>pikej@cardiff.ac.uk; csall@bas.ac.uk; aleventer@colgate.edu; catherine.stickley@npolar.no</t>
  </si>
  <si>
    <t>Pike, Jennifer/D-2589-2009</t>
  </si>
  <si>
    <t>Pike, Jennifer/0000-0001-9415-6003; Leventer, Amy/0000-0001-9401-0987</t>
  </si>
  <si>
    <t>0377-8398</t>
  </si>
  <si>
    <t>1872-6186</t>
  </si>
  <si>
    <t>MAR MICROPALEONTOL</t>
  </si>
  <si>
    <t>Mar. Micropaleontol.</t>
  </si>
  <si>
    <t>10.1016/j.marmicro.2008.02.001</t>
  </si>
  <si>
    <t>316WT</t>
  </si>
  <si>
    <t>WOS:000256981100005</t>
  </si>
  <si>
    <t>Iliff, M</t>
  </si>
  <si>
    <t>Iliff, Mike</t>
  </si>
  <si>
    <t>Normalization of the International Whaling Commission</t>
  </si>
  <si>
    <t>MARINE POLICY</t>
  </si>
  <si>
    <t>International Whaling Commission; whaling; normalization</t>
  </si>
  <si>
    <t>In 2006, the pro-whaling group within the International Whaling Commission introduced a programme of Normalization in an attempt to address its long held accusation that the Commission is dysfunctional. This paper traces the twin issues of dysfunctionality and normalization; it looks at the progress of the Normalization initiative so far, and assesses its likelihood of success. The paper also briefly examines Modernization, as an alternative for anti-whaling proponents to Normalization. (C) 2007 Elsevier Ltd. All rights reserved.</t>
  </si>
  <si>
    <t>Univ Tasmania, Inst Antarctic &amp; So Ocean Studies, Hobart, Tas 7001, Australia</t>
  </si>
  <si>
    <t>University of Tasmania</t>
  </si>
  <si>
    <t>Iliff, M (corresponding author), Univ Tasmania, Inst Antarctic &amp; So Ocean Studies, Hobart, Tas 7001, Australia.</t>
  </si>
  <si>
    <t>msiliff@utas.edu.au</t>
  </si>
  <si>
    <t>0308-597X</t>
  </si>
  <si>
    <t>MAR POLICY</t>
  </si>
  <si>
    <t>Mar. Pol.</t>
  </si>
  <si>
    <t>10.1016/j.marpol.2007.07.002</t>
  </si>
  <si>
    <t>Environmental Studies; International Relations</t>
  </si>
  <si>
    <t>Environmental Sciences &amp; Ecology; International Relations</t>
  </si>
  <si>
    <t>296UR</t>
  </si>
  <si>
    <t>WOS:000255571800010</t>
  </si>
  <si>
    <t>Modernisation of the International Convention for the Regulation of Whaling</t>
  </si>
  <si>
    <t>whaling; International Convention for the Regulation of Whaling</t>
  </si>
  <si>
    <t>Modernisation of the International Convention for the Regulation of Whaling (ICRW) has long been proposed by some contracting states and outsiders as a way of resolving the Whaling Dispute within the International Whaling Commission (IWC); however, both sides of the debate have traditionally been unconvinced that they would gain enough benefit to make the process worthwhile. Since the collapse of the negotiations on the Revised Management Scheme, the pro-whalers within the IWC have pursued an agenda of Normalisation of the IWC in an attempt to resume sustainable commercial whaling under what they believe is the true intent and wording of the ICRW. An attractive alternative to normalisation, particularly to many anti-whalers, is the rewriting of the Convention itself to incorporate many of the elements of more modern conventions, and to remove the clauses in the ICRW which have allowed pro-whaling members of the IWC to carry out whaling operations despite the disapproval of the majority. (C) 2007 Elsevier Ltd. All rights reserved.</t>
  </si>
  <si>
    <t>Univ Tasmania, Inst Antarctic &amp; So Ocean Studies, Hobart, Tas 7005, Australia</t>
  </si>
  <si>
    <t>Iliff, M (corresponding author), Univ Tasmania, Inst Antarctic &amp; So Ocean Studies, 2-4 Amande Cres,Sandy Bay, Hobart, Tas 7005, Australia.</t>
  </si>
  <si>
    <t>10.1016/j.marpol.2007.08.003</t>
  </si>
  <si>
    <t>WOS:000255571800018</t>
  </si>
  <si>
    <t>Gales, N; Leaper, R; Papastavrou, V</t>
  </si>
  <si>
    <t>Gales, Nick; Leaper, Russell; Papastavrou, Vassill</t>
  </si>
  <si>
    <t>Is Japan's whaling humane?</t>
  </si>
  <si>
    <t>whaling; killing methods; welfare</t>
  </si>
  <si>
    <t>WELFARE IMPLICATIONS; SCRUTINY; WHALES</t>
  </si>
  <si>
    <t>Video taken by Greenpeace of whaling by the Japanese whaling fleet in the Southern Ocean provided a unique opportunity to obtain quantitative data relevant to the welfare aspects of the killing of whales. Catches of 16 individual Antarctic minke whales (Balaenoptera bonaerensis) were analysed and ill two of these asphyxiation appeared the most likely cause of death. Fewer than one in five whales were killed instantaneously and the average time to death for the remaining whales was around 10 min. The presence of Greenpeace did not result in a reduced accuracy of harpoon shots when compared with previous studies. (C) 2007 Elsevier Ltd. All rights reserved,</t>
  </si>
  <si>
    <t>[Gales, Nick] Australian Antarctic Div, Kingston, Tas 7050, Australia; [Leaper, Russell; Papastavrou, Vassill] Int Fund Anim Welfare, Bristol BS6 6PW, Avon, England</t>
  </si>
  <si>
    <t>Gales, N (corresponding author), Australian Antarctic Div, 203 Channel Highway, Kingston, Tas 7050, Australia.</t>
  </si>
  <si>
    <t>Nick.Gales@aad.gov.au; rleaper@ifaw.org; vpapastavrou@ifaw.org</t>
  </si>
  <si>
    <t>10.1016/j.marpol.2007.08.004</t>
  </si>
  <si>
    <t>WOS:000255571800019</t>
  </si>
  <si>
    <t>Waugh, SM; Baker, GB; Gales, R; Croxall, JP</t>
  </si>
  <si>
    <t>Waugh, S. M.; Baker, G. B.; Gales, R.; Croxall, J. P.</t>
  </si>
  <si>
    <t>CCAMLR process of risk assessment to minimise the effects of longline fishing mortality on seabirds</t>
  </si>
  <si>
    <t>seabird bycatch; ecological risk assessment; regional fishery management organisations; CCAMLR</t>
  </si>
  <si>
    <t>ENVIRONMENT; FISHERY; PETRELS</t>
  </si>
  <si>
    <t>We describe the process used in the fisheries management system of the Convention for the Conservation of Antarctic Marine Living Resources (CCAMLR) to minimise seabird bycatch, and the risk-assessment methodology developed to assist this. We examine the progress of several Regional Fishery Management Organisations in taking steps to address seabird bycatch. CCAMLR has the most advanced system of management among the RFMOS covered in this review, and has made the most demonstrable progress in reducing seabird bycatch levels in its longline fisheries. A combination of proven mitigation measures, extensive monitoring by independent observers. annual expert review of seabird bycatch rates and evolving fishery and mitigation practices have been instrumental in reducing seabird bycatch in CCAMLR fisheries. (C) 2007 Elsevier Ltd. All rights reserved.</t>
  </si>
  <si>
    <t>[Waugh, S. M.] Minist Fisheries, Wellington, New Zealand; [Baker, G. B.] Univ Tasmania, Inst Antarctic &amp; So Ocean Studies, Hobart, Tas 7001, Australia; [Gales, R.] Dept Primary Ind &amp; Water, Biodivers Conservat Branch, Hobart, Tas 7000, Australia; [Croxall, J. P.] BirdLife Int, Cambridge CB3 0NA, England</t>
  </si>
  <si>
    <t>University of Tasmania; BirdLife International</t>
  </si>
  <si>
    <t>Waugh, SM (corresponding author), Minist Fisheries, PO Box 1020, Wellington, New Zealand.</t>
  </si>
  <si>
    <t>waugh.filippi@panidise.net.nz</t>
  </si>
  <si>
    <t>Baker, G. Barry/0000-0003-4766-8182</t>
  </si>
  <si>
    <t>1872-9460</t>
  </si>
  <si>
    <t>10.1016/j.marpol.2007.08.011</t>
  </si>
  <si>
    <t>WOS:000255571800023</t>
  </si>
  <si>
    <t>The international whaling regime post 2007</t>
  </si>
  <si>
    <t>whaling; International Convention for the Regulation of Whaling; International Whaling Commission</t>
  </si>
  <si>
    <t>ISSUE</t>
  </si>
  <si>
    <t>Japan's delegation to the International Whaling Commission (IWC) must have gone to the 2007 meeting in Anchorage believing that the prospects of at least the commencement of the process leading to the overturning of the moratorium were better than they had been since 1986. The passing of the St. Kitts and Nevis Declaration at the 2006 Meeting, the gathering momentum of their Normalisation agenda, and their own determination to compromise sonic of their own agenda in the interest of harmony within the IWC, would have formed the basis of this belief. The reality was totally different. There was no compromise by the anti-whaling group within the meeting who also regained the simple majority position which had been lost in 2006. Japan must face the reality that Normalisation is as far away its ever, and that if the situation within the IWC is to change, it is Japan who must change. This paper canvasses sonic of the possibilities arising out of the 2007 meeting. (c) 2007 Elsevier Ltd. All rights reserved.</t>
  </si>
  <si>
    <t>10.1016/j.marpol.2007.10.001</t>
  </si>
  <si>
    <t>WOS:000255571800032</t>
  </si>
  <si>
    <t>Near, TJ; Cheng, CHC</t>
  </si>
  <si>
    <t>Near, Thomas J.; Cheng, C. -H. Christina</t>
  </si>
  <si>
    <t>Phylogenetics of notothenioid fishes (Teleostei: Acanthomorpha):: Inferences from mitochondrial and nuclear gene sequences</t>
  </si>
  <si>
    <t>MOLECULAR PHYLOGENETICS AND EVOLUTION</t>
  </si>
  <si>
    <t>notothemoidei; ribosomal RNA; ND2; nuclear gene phylogeny; Nototheniidae; bathydraconidae; harpagiferidae; Artedidraconidae; Channichthyidae</t>
  </si>
  <si>
    <t>ANTARCTIC FISHES; SPECIES TREES; EVOLUTION; PERCIFORMES; DNA; POPULATION; SEARCH</t>
  </si>
  <si>
    <t>Notothenioids represent an adaptive radiation of teleost fishes in the frigid and ice-laden waters of the Southern Ocean surrounding Antarctica. Phylogenetic hypotheses for this clade have resulted primarily from analyses of mtDNA gene sequences, and studies utilizing nuclear gene DNA sequence data have focused on particular sub-clades of notothenioid fishes. In this study, we provide the first phylogenetic analysis of notothenioids using both mtDNA and nuclear gene sequences for a comprehensive sampling of all major lineages in the clade. Maximum parsimony and Bayesian analyses of aligned mtDNA genes, an aligned nuclear gene (S7 ribosomal protein intron 1), and combined dataset containing the mtDNA and nuclear genes resulted in phylogenies that contained the previously identified Antarctic and High Antarctic Clades. There were areas of agreement and disagreement between different datasets and methods of phylogenetic analysis, and the phylogenies resulting from the nuclear encoded S7 ribosomal protein intron I sequences were considerably less resolved than those inferred from mtDNA gene sequences. However, we anticipate increased resolution of the notothenioid phylogeny from future analyses that sample DNA sequences from several nuclear genes. (c) 2007 Elsevier Inc. All rights reserved.</t>
  </si>
  <si>
    <t>[Near, Thomas J.] Yale Univ, Dept Ecol &amp; Evolut Biol, New Haven, CT 06520 USA; [Near, Thomas J.] Yale Univ, Peabody Museum Nat Hist, New Haven, CT 06520 USA; [Cheng, C. -H. Christina] Univ Illinois, Dept Anim Biol, Urbana, IL 61801 USA</t>
  </si>
  <si>
    <t>Yale University; Yale University; University of Illinois System; University of Illinois Urbana-Champaign</t>
  </si>
  <si>
    <t>Near, TJ (corresponding author), Yale Univ, Dept Ecol &amp; Evolut Biol, 266 Whitney Ave, New Haven, CT 06520 USA.</t>
  </si>
  <si>
    <t>thomas.near@yale.edu</t>
  </si>
  <si>
    <t>Near, Thomas J./K-1204-2012</t>
  </si>
  <si>
    <t>Near, Thomas J./0000-0002-7398-6670</t>
  </si>
  <si>
    <t>1055-7903</t>
  </si>
  <si>
    <t>MOL PHYLOGENET EVOL</t>
  </si>
  <si>
    <t>Mol. Phylogenet. Evol.</t>
  </si>
  <si>
    <t>10.1016/j.ympev.2007.11.027</t>
  </si>
  <si>
    <t>304LD</t>
  </si>
  <si>
    <t>WOS:000256110100025</t>
  </si>
  <si>
    <t>Katz, ME; Miller, KG; Wright, JD; Wade, BS; Browning, JV; Cramer, BS; Rosenthal, Y</t>
  </si>
  <si>
    <t>Katz, Miriam E.; Miller, Kenneth G.; Wright, James D.; Wade, Bridget S.; Browning, James V.; Cramer, Benjamin S.; Rosenthal, Yair</t>
  </si>
  <si>
    <t>Stepwise transition from the Eocene greenhouse to the Oligocene icehouse</t>
  </si>
  <si>
    <t>NATURE GEOSCIENCE</t>
  </si>
  <si>
    <t>ANTARCTIC GLACIATION; COASTAL-PLAIN; ISOTOPE; RECORD; MG/CA; CALIBRATION; PLATEAU; HISTORY; EUSTASY; ONSET</t>
  </si>
  <si>
    <t>In the largest global cooling event of the Cenozoic Era, between 33.8 and 33.5 Myr ago, warm, high-CO2 conditions gave way to the variable 'icehouse' climates that prevail today. Despite intense study, the history of cooling versus ice-sheet growth and sea-level fall reconstructed from oxygen isotope values in marine sediments at the transition has not been resolved. Here, we analyse oxygen isotopes and Mg/Ca ratios of benthic for aminifera, and integrate the results with the stratigraphic record of sea-level change across the Eocene-Oligocene transition from a continental-shelf site at Saint Stephens Quarry, Alabama. Comparisons with deep-sea (Sites 522 (South Atlantic) and 1218 (Pacific)) delta O-18 and Mg/Ca records enable us to reconstruct temperature, ice-volume and sea- level changes across the climate transition. Our records show that the transition occurred in at least three distinct steps, with an increasing influence of ice volume on the oxygen isotope record as the transition progressed. By the early Oligocene, ice sheets were similar to 25% larger than present. This growth was associated with a relative sea- level decrease of approximately 105 m, which equates to a 67m eustatic fall.</t>
  </si>
  <si>
    <t>[Katz, Miriam E.] Rensselaer Polytech Inst, Dept Earth &amp; Environm Sci, Troy, NY 12180 USA; [Katz, Miriam E.; Miller, Kenneth G.; Wright, James D.; Browning, James V.; Rosenthal, Yair] Rutgers State Univ, Dept Earth &amp; Planetary Sci, Piscataway, NJ 08854 USA; [Wade, Bridget S.; Rosenthal, Yair] Rutgers State Univ, Inst Marine &amp; Coastal Sci, New Brunswick, NJ 08901 USA; [Wade, Bridget S.] Texas A&amp;M Univ, Dept Geol &amp; Geophys, Coll Stn, College Stn, TX 77840 USA; [Cramer, Benjamin S.] 1272 Univ Oregon, Dept Geol Sci, Eugene, OR 97403 USA</t>
  </si>
  <si>
    <t>Rensselaer Polytechnic Institute; Rutgers University System; Rutgers University New Brunswick; Rutgers University System; Rutgers University New Brunswick; Texas A&amp;M University System; Texas A&amp;M University College Station; University of Oregon</t>
  </si>
  <si>
    <t>Katz, ME (corresponding author), Rensselaer Polytech Inst, Dept Earth &amp; Environm Sci, Troy, NY 12180 USA.</t>
  </si>
  <si>
    <t>katzm@rpi.edu</t>
  </si>
  <si>
    <t>Cramer, Benjamin S/A-5303-2008; Wade, Bridget S/F-4987-2014; Wright, James/AAF-7180-2019</t>
  </si>
  <si>
    <t>Wade, Bridget S/0000-0002-7245-8614; Wright, James/0000-0001-5212-9146</t>
  </si>
  <si>
    <t>Directorate For Geosciences; Division Of Ocean Sciences [0751757] Funding Source: National Science Foundation</t>
  </si>
  <si>
    <t>Directorate For Geosciences; Division Of Ocean Sciences(National Science Foundation (NSF)NSF - Directorate for Geosciences (GEO))</t>
  </si>
  <si>
    <t>75 VARICK ST, 9TH FLR, NEW YORK, NY 10013-1917 USA</t>
  </si>
  <si>
    <t>1752-0894</t>
  </si>
  <si>
    <t>1752-0908</t>
  </si>
  <si>
    <t>NAT GEOSCI</t>
  </si>
  <si>
    <t>Nat. Geosci.</t>
  </si>
  <si>
    <t>10.1038/ngeo179</t>
  </si>
  <si>
    <t>309BB</t>
  </si>
  <si>
    <t>WOS:000256433600018</t>
  </si>
  <si>
    <t>Ochyra, R; Singh, SM</t>
  </si>
  <si>
    <t>Ochyra, Ryszard; Singh, Shiv Mohan</t>
  </si>
  <si>
    <t>Three remarkable moss records from Dronning Maud Land, continental Antarctica</t>
  </si>
  <si>
    <t>NOVA HEDWIGIA</t>
  </si>
  <si>
    <t>DECEPTION ISLAND; BRYACEAE; FLORA</t>
  </si>
  <si>
    <t>Two species of the moss genus Bryum, B. orbiculatifolium Cardot &amp; Broth. and B. archangelicum Bruch &amp; Schimp., which have hitherto been known only from the Antarctic Peninsula region in the maritime Antarctic, are recorded for the first time from continental Antarctica, from the Schirmacher Oasis in Dronning Maud Land. Accordingly, the moss flora of the continental Antarctic consists now of 23 species of moss. The range of B. argenteum Hedw. var. muticum Brid., a taxon known in Antarctica under the name B. subrotundifolium A. Jaeger from Victoria Land and Enderby Land on the continent, is extended to Dronning Maud Land. Antarctic distribution of the taxa concerned is mapped and some taxonomic and habitat notes are provided.</t>
  </si>
  <si>
    <t>[Ochyra, Ryszard] Polish Acad Sci, Inst Bot, Lab Bryol, PL-31512 Krakow, Poland; [Singh, Shiv Mohan] Govt India, Minist Earth Sci, Natl Ctr Antarct &amp; Ocean Res, Vasco Da Gama 403804, Goa, India</t>
  </si>
  <si>
    <t>Polish Academy of Sciences; Ministry of Earth Sciences (MoES) - India; National Centre for Polar and Ocean Research (NCPOR)</t>
  </si>
  <si>
    <t>Ochyra, R (corresponding author), Polish Acad Sci, Inst Bot, Lab Bryol, Lubicz 46, PL-31512 Krakow, Poland.</t>
  </si>
  <si>
    <t>Ryszard.Ochyra@ib-pan.krakow.pl; drmsingh@yahoo.com</t>
  </si>
  <si>
    <t>Ochyra, Ryszard/0000-0002-2541-0722</t>
  </si>
  <si>
    <t>GEBRUDER BORNTRAEGER</t>
  </si>
  <si>
    <t>JOHANNESSTR 3A, D-70176 STUTTGART, GERMANY</t>
  </si>
  <si>
    <t>0029-5035</t>
  </si>
  <si>
    <t>Nova Hedwigia</t>
  </si>
  <si>
    <t>10.1127/0029-5035/2008/0086-0497</t>
  </si>
  <si>
    <t>314LG</t>
  </si>
  <si>
    <t>WOS:000256810300008</t>
  </si>
  <si>
    <t>Marino, F; Calzolai, G; Caporali, S; Castellano, E; Chiari, M; Lucarelli, F; Maggi, V; Nava, S; Sala, M; Udisti, R</t>
  </si>
  <si>
    <t>Marino, F.; Calzolai, G.; Caporali, S.; Castellano, E.; Chiari, M.; Lucarelli, F.; Maggi, V.; Nava, S.; Sala, M.; Udisti, R.</t>
  </si>
  <si>
    <t>PIXE and PIGE techniques for the analysis of Antarctic ice dust and continental sediments</t>
  </si>
  <si>
    <t>NUCLEAR INSTRUMENTS &amp; METHODS IN PHYSICS RESEARCH SECTION B-BEAM INTERACTIONS WITH MATERIALS AND ATOMS</t>
  </si>
  <si>
    <t>9th European Conference on Accelerators in Applied Research and Technology</t>
  </si>
  <si>
    <t>SEP 03-07, 2007</t>
  </si>
  <si>
    <t>Florence, ITALY</t>
  </si>
  <si>
    <t>PIXE; PIGE; Antarctica; dust; climate change</t>
  </si>
  <si>
    <t>8 GLACIAL CYCLES; ELEMENTAL COMPOSITION; THIN SAMPLES; DOME-C; EPICA; CORE; SI</t>
  </si>
  <si>
    <t>An analytical procedure has been implemented in this work for an accurate geochemical characterization and quantitative analysis of the fine dust (particles diameter &lt; 5 mu m) trapped in Antarctic ice cores and the fine fraction of potential source areas (PSA) sediments by size selection, filtering and PIXE-PIGE combined measurements. The underestimation of concentrations of the lighter elements, like Na, Mg, Al and Si, due to X-ray self-absorption inside each individual aerosol particle, was also evaluated and the analytical overall accuracy tested by means of measurements performed on size selected certified mineral standards. (C) 2008 Elsevier B.V. All rights reserved.</t>
  </si>
  <si>
    <t>[Calzolai, G.; Chiari, M.; Nava, S.] Ist Nazl Fis Nucl, I-50019 Florence, Italy; [Marino, F.; Maggi, V.] Univ Milano Bicocca, Dept Environm Sci, DISAT, Milan, Italy; [Lucarelli, F.] Univ Florence, Ist Nazl Fis Nucl, Florence, Italy; [Sala, M.] Univ Milan, Dept Earth Sci, Milan, Italy; [Sala, M.] Antarctic Natl Museum, MNA, Siena, Italy; [Marino, F.; Caporali, S.; Castellano, E.; Udisti, R.] Univ Florence, Dept Chem, Florence, Italy; [Lucarelli, F.] Univ Florence, Dept Phys, Florence, Italy</t>
  </si>
  <si>
    <t>Istituto Nazionale di Fisica Nucleare (INFN); University of Milano-Bicocca; University of Florence; Istituto Nazionale di Fisica Nucleare (INFN); University of Milan; University of Florence; University of Florence</t>
  </si>
  <si>
    <t>Chiari, M (corresponding author), Ist Nazl Fis Nucl, Via G Sansone 1, I-50019 Florence, Italy.</t>
  </si>
  <si>
    <t>chiari@fi.infn.it</t>
  </si>
  <si>
    <t>Chiari, Massimo/ABE-2523-2020; Maggi, Valter/AAX-5728-2020; Maggi, Valter/E-1878-2014; Udisti, Roberto/M-7966-2015; Chiari, Massimo/ABE-2530-2020; Lucarelli, Franco/F-3465-2013</t>
  </si>
  <si>
    <t>Maggi, Valter/0000-0001-6287-1213; Udisti, Roberto/0000-0003-4440-8238; Chiari, Massimo/0000-0001-6993-3149; Lucarelli, Franco/0000-0001-7772-8858; Becagli, Silvia/0000-0003-3633-4849; Caporali, Stefano/0000-0002-5673-0462</t>
  </si>
  <si>
    <t>0168-583X</t>
  </si>
  <si>
    <t>1872-9584</t>
  </si>
  <si>
    <t>NUCL INSTRUM METH B</t>
  </si>
  <si>
    <t>Nucl. Instrum. Methods Phys. Res. Sect. B-Beam Interact. Mater. Atoms</t>
  </si>
  <si>
    <t>10.1016/j.nimb.2008.03.029</t>
  </si>
  <si>
    <t>Instruments &amp; Instrumentation; Nuclear Science &amp; Technology; Physics, Atomic, Molecular &amp; Chemical; Physics, Nuclear</t>
  </si>
  <si>
    <t>Instruments &amp; Instrumentation; Nuclear Science &amp; Technology; Physics</t>
  </si>
  <si>
    <t>319SZ</t>
  </si>
  <si>
    <t>WOS:000257185600068</t>
  </si>
  <si>
    <t>Bridge, PD; Hughes, KA; Denton, JO</t>
  </si>
  <si>
    <t>Bridge, P. D.; Hughes, K. A.; Denton, J. O.</t>
  </si>
  <si>
    <t>Association of the coprophilous fungus Pirella circinans with an indigenous beetle on the sub-Antarctic Bird Island</t>
  </si>
  <si>
    <t>zygomycete; thamnidiaceae; pirella circinans; beetle Hydromedion sparsutum; degradation; molecular identification; coprophilous</t>
  </si>
  <si>
    <t>NEMATOPHAGOUS FUNGI; MUCORALES</t>
  </si>
  <si>
    <t>The zygomycete fungus Pirella circinans was isolated from cadavers of the beetle Hydromedion sparsutum from diverse sites on the sub-Antarctic Bird Island and was found to be the dominant or sole fungal coloniser during the primary degradation of cadavers. The fungus was observed to grow and colonise cadavers from discrete areas of the beetle carapace, some of which were not affected by alcohol surface sterilisation. The fungus is commonly reported from the dung of rodents and other small mammals, both of which are absent from Bird Island. Recovery of P. circinans as the only fungus from beetle cadavers is unusual and may indicate a close association between the beetle and the fungus.</t>
  </si>
  <si>
    <t>[Bridge, P. D.; Hughes, K. A.] British Antarctic Survey, NERC, Cambridge CB3 0ET, England; [Denton, J. O.] RHS Garden, Dept Plant Pathol, Surrey GU23 6QB, England</t>
  </si>
  <si>
    <t>Bridge, PD (corresponding author), British Antarctic Survey, NERC, Madingley Rd, Cambridge CB3 0ET, England.</t>
  </si>
  <si>
    <t>Hughes, Kevin/JVZ-0793-2024</t>
  </si>
  <si>
    <t>10.1007/s00300-007-0403-y</t>
  </si>
  <si>
    <t>289MS</t>
  </si>
  <si>
    <t>WOS:000255059200001</t>
  </si>
  <si>
    <t>Hawes, TC; Bale, JS; Worland, MR; Convey, P</t>
  </si>
  <si>
    <t>Hawes, T. C.; Bale, J. S.; Worland, M. R.; Convey, P.</t>
  </si>
  <si>
    <t>Trade-offs between microhabitat selection and physiological plasticity in the Antarctic springtail, Cryptopygus antarcticus (Willem)</t>
  </si>
  <si>
    <t>phenotypic plasticity; collembola; acclimatization; rapid cold hardening; thermal variability</t>
  </si>
  <si>
    <t>COLD HARDINESS; SIGNY ISLAND; COLLEMBOLA; INSECTS; WINTER; TEMPERATURE; DISTRIBUTIONS; AVAILABILITY; ACCLIMATION; ENVIRONMENT</t>
  </si>
  <si>
    <t>In the maritime Antarctic, terrestrial arthropods have recourse to two strategies to mitigate low summer temperatures: (1) physiological plasticity and (2) avoidance via microhabitat insulation. This study investigated the interaction between these strategies in the springtail, Cryptopygus antarcticus, established in situ within contrasting microcosms (buffered vs. exposed) and within two sets of habitat simulations (wet vs. dry) over diurnal scales through the Antarctic summer. Significant differences were found in the cold hardiness of springtails sampled simultaneously from each microcosm. Exposed animals showed greater plasticity in the true austral summer, but as field temperatures declined preceding the onset of winter, buffered animals showed greater resilience. Overall, water was found to inhibit the buffering effect of moss and there was a significantly greater discrimination between buffered and exposed microcosms in the dry treatment. Analysis of microhabitat temperatures indicate that it is thermal variability not lower temperature that is responsible for the greater plasticity of exposed animals.</t>
  </si>
  <si>
    <t>[Hawes, T. C.; Bale, J. S.] Univ Birmingham, Dept Biosci, Birmingham B15 2TT, W Midlands, England; [Worland, M. R.; Convey, P.] British Antarctic Survey, NERC, Cambridge CB3 0ET, England</t>
  </si>
  <si>
    <t>University of Birmingham; UK Research &amp; Innovation (UKRI); Natural Environment Research Council (NERC); NERC British Antarctic Survey</t>
  </si>
  <si>
    <t>Hawes, TC (corresponding author), Univ Otago, Dept Zool, POB 56, Dunedin, Otago, New Zealand.</t>
  </si>
  <si>
    <t>tinstone12@hotmail.com</t>
  </si>
  <si>
    <t>10.1007/s00300-008-0406-3</t>
  </si>
  <si>
    <t>WOS:000255059200004</t>
  </si>
  <si>
    <t>Catalán, IA; Morales-Nin, B; Company, JB; Rotllant, G; Palomera, I; Emelianov, M</t>
  </si>
  <si>
    <t>Catalan, I. A.; Morales-Nin, B.; Company, J. B.; Rotllant, G.; Palomera, I.; Emelianov, M.</t>
  </si>
  <si>
    <t>Environmental influences on zooplankton and micronekton distribution in the Bransfield Strait and adjacent waters</t>
  </si>
  <si>
    <t>Antarctica; fish larvae and juveniles; salps; krill; distribution; abundance; size structure; hydrography; density front; segregation</t>
  </si>
  <si>
    <t>KRILL EUPHAUSIA-SUPERBA; ANTARCTIC PENINSULA; SOUTHERN-OCEAN; PLEURAGRAMMA-ANTARCTICUM; AUSTRAL SUMMER; CARBON FLUX; SCOTIA SEA; FISH; ABUNDANCE; COMMUNITIES</t>
  </si>
  <si>
    <t>The spatial distribution, biomass and size structure of key mesozooplankton species and micronekton in the Bransfield Strait (Antarctica) are described in relation to environmental variables during the austral summer 2001. Stratified (BIONESS) biological sampling at five depth-ranges and CTD casts were performed at 40 stations, including a cross-Strait transect. Six families, 11 genera and 16 species composed the total catch of larval and juvenile fish, which were more abundant in the upper 75 m. Trematomus scotti was the most abundant fish and large individuals dominated at depths &gt; 75 m. The fish distribution patterns were associated with the main water masses in the area and with bottom depth. Spatial segregation in density and biomass of krill (Euphausia superba) and salps (Salpa thompsoni) was observed at a relatively small scale, in relation to the main water masses. Also, size-related spatial segregation was found in krill. The present study suggests that the spatial distribution of krill, salps and early life stages of fish, are influenced by the main water masses in the Strait, and that species may adapt their reproductive strategies not only to seasonal production peaks, but to transport processes within water bodies that maximise their fitness through optimum temperature and/or trophic environments.</t>
  </si>
  <si>
    <t>[Catalan, I. A.; Morales-Nin, B.] UIB, CSIC, Inst Mediterrani Estudis Avancats, Esporles 07190, Illes Balears, Spain; [Company, J. B.; Palomera, I.; Emelianov, M.] CSIC, Inst Ciencias Mar, E-08003 Barcelona, Spain; [Rotllant, G.] Inst Recerca &amp; Tecnol Agroalimentaries, Tarragona 43540, Spain</t>
  </si>
  <si>
    <t>Universitat de les Illes Balears; Consejo Superior de Investigaciones Cientificas (CSIC); ATTITUS Educacao; Consejo Superior de Investigaciones Cientificas (CSIC); CSIC - Centro Mediterraneo de Investigaciones Marinas y Ambientales (CMIMA); CSIC - Instituto de Ciencias del Mar (ICM); IRTA</t>
  </si>
  <si>
    <t>Catalán, IA (corresponding author), UIB, CSIC, Inst Mediterrani Estudis Avancats, C Miquel Marques 21, Esporles 07190, Illes Balears, Spain.</t>
  </si>
  <si>
    <t>Ignacio.catalan@uib.es</t>
  </si>
  <si>
    <t>Catalan, Ignacio/C-5382-2011; Company, Joan B. B/K-7274-2014; Emelianov, Mikhail/M-1400-2014; Palomera, Isabel/L-4769-2014; Rotllant, Guiomar/I-1838-2013</t>
  </si>
  <si>
    <t>Catalan, Ignacio/0000-0002-6496-9182; Emelianov, Mikhail/0000-0002-1459-2911; Palomera, Isabel/0000-0001-5708-168X; Rotllant, Guiomar/0000-0002-6692-9678; Morales-Nin, Beatriz/0000-0002-7264-0918</t>
  </si>
  <si>
    <t>233 SPRING STREET, NEW YORK, NY 10013 USA</t>
  </si>
  <si>
    <t>10.1007/s00300-008-0408-1</t>
  </si>
  <si>
    <t>WOS:000255059200005</t>
  </si>
  <si>
    <t>Cox, SL; Macdonald, JA</t>
  </si>
  <si>
    <t>Cox, Serena L.; Macdonald, John A.</t>
  </si>
  <si>
    <t>Temperature dependency of miniature end plate currents from the extraocular muscle of Antarctic teleost fishes</t>
  </si>
  <si>
    <t>MEPC; miniature end plate current; teleost; temperature compensation; nototheniidae; Antarctic</t>
  </si>
  <si>
    <t>BIOLOGICAL ANTIFREEZE AGENTS; COLD-ADAPTATION; POSTSYNAPTIC CURRENTS; NOTOTHENIOID FISHES; MEMBRANES; POIKILOTHERMS; GLYCOPROTEINS; COMPENSATION; PHYSIOLOGY; EVOLUTION</t>
  </si>
  <si>
    <t>The effects of temperature on the decay phase of post-synaptic currents were examined to determine the extent of temperature compensation in the inferior oblique extraocular muscles of four Antarctic fishes (Trematomus bernacchii, Trematomus pennellii, Trematomus hansoni, and Pagothenia borchgrevinki, Family Nototheniidae). At ambient temperatures, different fish produce miniature end plate currents (MEPCs), which vary in duration and rate of decay. Low temperatures normally prolong MEPCs, however, Antarctic fishes were found to produce MEPCs of significantly shorter duration than predicted (based on back-extrapolation of temperate fish data to sub-zero temperatures). Notothenioid decay time constants were approximately 500 mu s faster than their temperate counterparts, extrapolated to -2C, suggesting that the difference is consistent with temperature compensation in the neural-systems of Antarctic fish. Results presented here conform the hypothesis that post-synaptic MEPCs of Antarctic fish exhibit temperature compensation, an adaptive feature that has permitted the successful radiation throughout the Southern Ocean.</t>
  </si>
  <si>
    <t>[Cox, Serena L.] Natl Inst Water &amp; Atmospher Res, Wellington, New Zealand; [Cox, Serena L.; Macdonald, John A.] Univ Auckland, Sch Biol Sci, Expt Biol Res Grp, Auckland 1, New Zealand</t>
  </si>
  <si>
    <t>National Institute of Water &amp; Atmospheric Research (NIWA) - New Zealand; University of Auckland</t>
  </si>
  <si>
    <t>Cox, SL (corresponding author), Natl Inst Water &amp; Atmospher Res, Private Bag 14901, Wellington, New Zealand.</t>
  </si>
  <si>
    <t>s.cox@niwa.co.nz</t>
  </si>
  <si>
    <t>10.1007/s00300-008-0409-0</t>
  </si>
  <si>
    <t>WOS:000255059200006</t>
  </si>
  <si>
    <t>Marschoff, E; Rombola, E; Coria, N</t>
  </si>
  <si>
    <t>Marschoff, Enrique; Rombola, Emilce; Coria, Nestor</t>
  </si>
  <si>
    <t>The uropod as a proxy for total length distribution in Antarctic krill: an assessment of different models</t>
  </si>
  <si>
    <t>prey size distributions; proxy measurements; Krill; penguins; regression</t>
  </si>
  <si>
    <t>EUPHAUSIA-SUPERBA DANA; CARAPACE MEASUREMENTS; BODY LENGTH; SEX</t>
  </si>
  <si>
    <t>The properties of the regression of standard length on the length of the exopodit of the uropod of Euphausia superba as a method to estimate the distribution of the standard length from penguin stomach contents samples are explored. The distance between the estimated and observed distributions was measured with the Kolmogorov-Smirnov statistic. Sample variability was determined using resampling techniques. The ability of linear functions (Models I and II), allometric and non-parametric methods to recover the observed distributions was evaluated within samples and exchanging parameters between samples. Linear and allometric models proved inadequate to recover the distribution, while the differences obtained with non-parametric methods fall within the bounds of sample variability, suggesting that a linear equation does not capture the relation between total and exopodit length. The use of a non-parametric regression is recommended to increase the sample size when estimating the distributions of prey lengths in the stomach contents of Antarctic penguins.</t>
  </si>
  <si>
    <t>[Marschoff, Enrique; Rombola, Emilce; Coria, Nestor] Inst Antartico Argentino, Buenos Aires, DF, Argentina</t>
  </si>
  <si>
    <t>Instituto Antartico Argentino</t>
  </si>
  <si>
    <t>Marschoff, E (corresponding author), Inst Antartico Argentino, Cerrito 1248,C1010AAZ, Buenos Aires, DF, Argentina.</t>
  </si>
  <si>
    <t>marschoff@dna.gov.ar</t>
  </si>
  <si>
    <t>Rombola, Emilce Florencia/0000-0003-1863-1911</t>
  </si>
  <si>
    <t>10.1007/s00300-008-0411-6</t>
  </si>
  <si>
    <t>WOS:000255059200007</t>
  </si>
  <si>
    <t>Saiz, JI; García, FJ; Manjón-Cabeza, ME; Parapar, J; Peña-Cantero, A; Saucède, T; Troncoso, JS; Ramos, A</t>
  </si>
  <si>
    <t>Saiz, J. I.; Garcia, F. J.; Manjon-Cabeza, M. E.; Parapar, J.; Pena-Cantero, A.; Saucede, T.; Troncoso, J. S.; Ramos, A.</t>
  </si>
  <si>
    <t>Community structure and spatial distribution of benthic fauna in the Bellingshausen Sea (West Antarctica)</t>
  </si>
  <si>
    <t>abiotic factors; abundance; Antarctica; Bellingshausen Sea; macrobenthos; PRIMER</t>
  </si>
  <si>
    <t>SOUTH-SHETLAND-ISLANDS; KING-GEORGE-ISLAND; PETER-I ISLAND; QUANTITATIVE-ANALYSIS; ARCTIC-OCEAN; BIOMASS; ASSEMBLAGES; SEDIMENTS; SHELF; FLUX</t>
  </si>
  <si>
    <t>The structure and spatial distribution of the macrofauna community of the Bellingshausen Sea in the western sector of Antarctica was studied during the 'BENTART-06' oceanographic expedition. This is one of the least explored Antarctic seas. A total of 20 box cores were sampled at 11 stations ranging from 157 to 3,304 m depth, using an USNEL-type box corer (BC) dredge. Representatives of 25 higher taxa of invertebrates were collected. Deeper sampling sites were less rich in taxa (4-7 taxa), whereas the figures were higher at shallower sites (up to 17 taxa). Faunal density on the sea bottom revealed a horizontal spatial gradient from the western sites with extremely low figures (90 indiv./m(2)) towards the eastern ones with the highest figures (1,360 indiv./m(2)) close to the Antarctic Peninsula. Several abiotic factors (depth, redox, organic matter, carbonates and particle size of surficial sediments) were measured simultaneously on the sea floor to characterise the substrate preferences of the fauna. Positive correlations were found between the faunal distribution and a combination of depth, redox values, and organic matter content of sediments. This indicates decreasing availability of food in the deeper bottoms of the Bellingshausen Sea with a prevalence of depauperated bottoms dominated almost exclusively by a foraminiferans community.</t>
  </si>
  <si>
    <t>[Saiz, J. I.] Univ Basque Country, EHU, Dpto Zool, E-48080 Bilbao, Spain; [Saiz, J. I.] Univ Basque Country, EHU, BCA, E-48080 Bilbao, Spain; [Manjon-Cabeza, M. E.] Univ Pablo de Olavide, Fac Ciencias Expt, Dpto Sistemas Fis, Seville 41013, Spain; [Parapar, J.] Univ A Coruna, Dpto Biol Anim, La Coruna 15008, Spain; [Pena-Cantero, A.] Univ Valencia, Fdn Gen Univ Valencia, Inst Cavanilles Biodiveridad &amp; Biol Evolut, Valencia 46071, Spain; [Saucede, T.] Univ Bourgogne, CNRS, F-21000 Dijon, France; [Troncoso, J. S.] Univ Vigo, Dpto Ecol Biol Anim, Vigo 36200, Spain; [Ramos, A.] Inst Espanol Oceanog, Vigo 36200, Spain</t>
  </si>
  <si>
    <t>University of Basque Country; University of Basque Country; Universidad Pablo de Olavide; Universidade da Coruna; University of Valencia; Universite de Bourgogne; Centre National de la Recherche Scientifique (CNRS); Universidade de Vigo; Spanish Institute of Oceanography</t>
  </si>
  <si>
    <t>Saiz, JI (corresponding author), Univ Basque Country, EHU, Dpto Zool, Apdo 644, E-48080 Bilbao, Spain.</t>
  </si>
  <si>
    <t>ji.saiz@ehu.es</t>
  </si>
  <si>
    <t>Saiz Salinas, Jose Ignacio/I-5216-2015; Manjón-Cabeza, M. Eugenia/L-1761-2014; Cantero, Álvaro Luis Peña/F-7888-2016; García-Garcia, Francisco J/D-5516-2013; Parapar, Julio/J-4150-2014; Troncoso, Jesus/L-1823-2017</t>
  </si>
  <si>
    <t>Saiz Salinas, Jose Ignacio/0000-0002-6245-7589; Manjón-Cabeza, M. Eugenia/0000-0002-4014-6763; García-Garcia, Francisco J/0000-0002-6852-4498; Parapar, Julio/0000-0001-7585-6995; Pena Cantero, Alvaro/0000-0003-3056-6673; Troncoso, Jesus/0000-0002-7305-6879</t>
  </si>
  <si>
    <t>10.1007/s00300-008-0414-3</t>
  </si>
  <si>
    <t>WOS:000255059200009</t>
  </si>
  <si>
    <t>Bonnedahl, J; Olsen, B; Waldenström, J; Broman, T; Jalava, J; Huovinen, P; Österblad, M</t>
  </si>
  <si>
    <t>Bonnedahl, Jonas; Olsen, Bjorn; Waldenstrom, Jonas; Broman, Tina; Jalava, Jari; Huovinen, Pentti; Osterblad, Monica</t>
  </si>
  <si>
    <t>Antibiotic susceptibility of faecal bacteria in Antarctic penguins</t>
  </si>
  <si>
    <t>Enterobacteriaceae; Antimicrobial resistance; Edwardsiella; Antarctic Peninsula; Pygoscelis papua; Animal</t>
  </si>
  <si>
    <t>ESCHERICHIA-COLI; EDWARDSIELLA-TARDA; ANTIMICROBIAL RESISTANCE; GENETIC-STRUCTURE; R-PLASMIDS; E-ICTALURI; E-HOSHINAE; WILD; MAMMALS; ENTEROBACTERIA</t>
  </si>
  <si>
    <t>Faecal bacteria from 49 Gentoo penguins on the Antarctic Peninsula were identified by biochemical methods and sequencing, and tested for antibiotic susceptibility using agar dilution. Of the 42 Enterobacteriaceae isolates found, 39 belonged to the genus Edwardsiella. All isolates were susceptible to the 17 antibiotics tested. This implies that antibiotic selection pressure is a prerequisite to a high prevalence of antibiotic resistance, and in the absence of contact with human activities, antibiotic resistance in Enterobacteriaceae remains undetectable.</t>
  </si>
  <si>
    <t>[Jalava, Jari; Osterblad, Monica] Natl Publ Hlth Inst, Lab Human Microbiol Ecol, Dept Bacterial &amp; Inflammatory Dis, Turku 20520, Finland; [Huovinen, Pentti] Natl Publ Hlth Inst, Antimicrobial Res Lab, Turku 20520, Finland; [Bonnedahl, Jonas] Kalmar Cty Hosp, Dept Microbiol &amp; Hosp Hyg, S-39185 Kalmar, Sweden; [Bonnedahl, Jonas; Olsen, Bjorn] Univ Uppsala Hosp, Dept Med Sci, Infect Dis Sect, S-75185 Uppsala, Sweden; [Olsen, Bjorn; Waldenstrom, Jonas] Kalmar Univ, Dept Biol &amp; Environm Sci, Sect Zoonot Ecol &amp; Epidemiol, S-39182 Kalmar, Sweden; [Broman, Tina] Swedish Def Res Agcy, CBRN Def &amp; Secur, S-90182 Umea, Sweden</t>
  </si>
  <si>
    <t>Finland National Institute for Health &amp; Welfare; Finland National Institute for Health &amp; Welfare; Uppsala University; Uppsala University Hospital; Linnaeus University; University of Kalmar; Saab Group</t>
  </si>
  <si>
    <t>Österblad, M (corresponding author), Natl Publ Hlth Inst, Lab Human Microbiol Ecol, Dept Bacterial &amp; Inflammatory Dis, Kiinamyllynkatu 13, Turku 20520, Finland.</t>
  </si>
  <si>
    <t>Monica.Osterblad@ktl.fi</t>
  </si>
  <si>
    <t>Bonnedahl, Jonas/GZG-8435-2022; Huovinen, Pentti O/C-1917-2009; Waldenström, Jonas/E-4460-2013</t>
  </si>
  <si>
    <t>Waldenström, Jonas/0000-0002-1152-4235; Olsen, Bjorn/0000-0002-4646-691X; Bonnedahl, Jonas/0000-0002-3182-389X</t>
  </si>
  <si>
    <t>10.1007/s00300-008-0430-3</t>
  </si>
  <si>
    <t>WOS:000255059200013</t>
  </si>
  <si>
    <t>Koutsioulis, D; Wang, E; Tzanodaskalaki, M; Nikiforaki, D; Deli, A; Feller, G; Heikinheimo, P; Bouriotis, V</t>
  </si>
  <si>
    <t>Koutsioulis, Dimitris; Wang, Ellen; Tzanodaskalaki, Maria; Nikiforaki, Dimitra; Deli, Alexandra; Feller, Georges; Heikinheimo, Pirkko; Bouriotis, Vassilis</t>
  </si>
  <si>
    <t>Directed evolution on the cold adapted properties of TAB5 alkaline phosphatase</t>
  </si>
  <si>
    <t>PROTEIN ENGINEERING DESIGN &amp; SELECTION</t>
  </si>
  <si>
    <t>catalysis; directed evolution; mutagenesis; psychrophilic enzymes; thermostability</t>
  </si>
  <si>
    <t>TEMPERATURE ADAPTATION; STABILITY; ENZYMES; COMBINATORIAL; EXTENSION</t>
  </si>
  <si>
    <t>Psychrophilic alkaline phosphatase (AP) from the Antarctic strain TAB5 was subjected to directed evolution in order to identify the key residues steering the enzyme's cold-adapted activity and stability. A round of random mutagenesis and further recombination yielded three thermostable and six thermolabile variants of the TAB5 AP. All of the isolated variants were characterised by their residual activity after heat treatment, Michaelis-Menten kinetics, activation energy and microcalorimetric parameters of unfolding. In addition, they were modelled into the structure of the TAB5 AP. Mutations which affected the cold-adapted properties of the enzyme were all located close to the active site. The destabilised variants H135E and H135E/G149D had 2- and 3-fold higher k(cat), respectively, than the wild-type enzyme. Wild-type AP has a complex heat-induced unfolding pattern while the mutated enzymes loose local unfolding transitions and have large shifts of the T-m values. Comparison of the wild-type and mutated TAB5 APs demonstrates that there is a delicate balance between the enzyme activity and stability and that it is possible to improve the activity and thermostability simultaneously as demonstrated in the case of the H135E/G149D variant compared to H135E.</t>
  </si>
  <si>
    <t>[Koutsioulis, Dimitris; Nikiforaki, Dimitra; Deli, Alexandra; Bouriotis, Vassilis] Univ Crete, Dept Biol, Enzyme Biotechnol Grp, Iraklion 71409, Crete, Greece; [Wang, Ellen; Heikinheimo, Pirkko] Univ Tromso, NORSTRUCT, Inst Chem, N-9037 Tromso, Norway; [Tzanodaskalaki, Maria; Bouriotis, Vassilis] Inst Mol Biol &amp; Biotechnol, Iraklion 71110, Crete, Greece; [Feller, Georges] Univ Liege, Inst Chem, Biochem Lab, B-4000 Cointe Ougree, Belgium; [Heikinheimo, Pirkko] Univ Helsinki, Inst Biotechnol, FIN-00014 Helsinki, Finland</t>
  </si>
  <si>
    <t>University of Crete; UiT The Arctic University of Tromso; University of Liege; University of Helsinki</t>
  </si>
  <si>
    <t>Bouriotis, V (corresponding author), Univ Crete, Dept Biol, Enzyme Biotechnol Grp, POB 2208,Vasilika Vouton, Iraklion 71409, Crete, Greece.</t>
  </si>
  <si>
    <t>dkoutsioulis@hotmail.com; bouriotis@imbb.forth.gr</t>
  </si>
  <si>
    <t>Nikiforaki, Dimitra/B-8863-2017; Heikinheimo, Pirkko/M-2148-2019</t>
  </si>
  <si>
    <t>1741-0126</t>
  </si>
  <si>
    <t>1741-0134</t>
  </si>
  <si>
    <t>PROTEIN ENG DES SEL</t>
  </si>
  <si>
    <t>Protein Eng. Des. Sel.</t>
  </si>
  <si>
    <t>10.1093/protein/gzn009</t>
  </si>
  <si>
    <t>Biochemistry &amp; Molecular Biology; Biotechnology &amp; Applied Microbiology</t>
  </si>
  <si>
    <t>290XH</t>
  </si>
  <si>
    <t>WOS:000255156400006</t>
  </si>
  <si>
    <t>Robinson, RS; Sigman, DM</t>
  </si>
  <si>
    <t>Robinson, Rebecca S.; Sigman, Daniel M.</t>
  </si>
  <si>
    <t>Nitrogen isotopic evidence for a poleward decrease in surface nitrate within the ice age Antarctic</t>
  </si>
  <si>
    <t>LAST GLACIAL MAXIMUM; SOUTHERN-OCEAN; PACIFIC SECTOR; ATMOSPHERIC CO2; SEA-ICE; ATLANTIC SECTOR; BIOGENIC SILICA; INDIAN SECTOR; PAST CHANGES; PRODUCTIVITY</t>
  </si>
  <si>
    <t>Surface sediment diatom-bound delta N-15 along a latitudinal transect of 170 degrees W shows a previously unobserved increase to the South of the Antarctic Polar Front. The southward delta N-15 increase is best explained by the combination of two changes toward the South, a decrease in the isotope effect of nitrate assimilation (epsilon) and an increase in the degree of nitrate consumption, both associated with shoaling of the mixed layer into the seasonal ice zone (SIZ). New downcore records show high amplitude changes in diatom-bound delta N-15 during the last ice age, with intervals of higher delta N-15, including the last glacial maximum, the transition between marine isotope stages 5 and 4, and marine isotope stage 6, while other intervals are similar in delta N-15 to interglacial sediments. Variation in the range of 0-3 parts per thousand, as seen in previously published records, may be entirely due to changes in e. However, the observed magnitude of the change of 4-10 parts per thousand in the three new records and the locations of these records relative to the modern meridional gradient in mixed layer depth appear to require increased nitrate consumption to explain the high-delta N-15 intervals. The new sites are near the modern Southern Antarctic Circumpolar Current Front (SACCF), and one of the sites has been shown to be associated with sporadic summer sea ice during the LGM. As with other Antarctic sites, the available proxy data suggest that they were characterized by lower export production. Based on these and other observations, we propose that the weak southward nitrate decrease in the modern Antarctic surface was a fully developed nutrient front in the glacial Antarctic, associated with the SACCF. Both modern ocean and paleoceanographic work is needed to test this hypothesis, which would have major implications for atmospheric CO2 (C) 2008 Published by Elsevier Ltd.</t>
  </si>
  <si>
    <t>[Robinson, Rebecca S.] Univ Rhode Isl, Grad Sch Oceanog, Narragansett, RI 02882 USA; [Sigman, Daniel M.] Princeton Univ, Dept Geosci, Princeton, NJ 08544 USA</t>
  </si>
  <si>
    <t>University of Rhode Island; Princeton University</t>
  </si>
  <si>
    <t>Robinson, RS (corresponding author), Univ Rhode Isl, Grad Sch Oceanog, Bay Campus, Narragansett, RI 02882 USA.</t>
  </si>
  <si>
    <t>rebeccar@gso.uri.edu</t>
  </si>
  <si>
    <t>Sigman, Daniel M./A-2649-2008; Sigman, Daniel M./IYJ-2613-2023</t>
  </si>
  <si>
    <t>Sigman, Daniel M./0000-0002-7923-1973; Robinson, Rebecca/0000-0002-8072-1603</t>
  </si>
  <si>
    <t>1873-457X</t>
  </si>
  <si>
    <t>9-10</t>
  </si>
  <si>
    <t>10.1016/j.quascirev.2008.02.005</t>
  </si>
  <si>
    <t>322VW</t>
  </si>
  <si>
    <t>WOS:000257404400014</t>
  </si>
  <si>
    <t>Lang, XM</t>
  </si>
  <si>
    <t>Lang XianMei</t>
  </si>
  <si>
    <t>Prediction model for spring dust weather frequency in North China</t>
  </si>
  <si>
    <t>spring dust weather frequency; prediction model; iap91-agcm; hindcast experiment; real-time prediction</t>
  </si>
  <si>
    <t>CLIMATE; STORMS</t>
  </si>
  <si>
    <t>It is of great social and scientific importance and also very difficult to make reliable prediction for dust weather frequency (DWF) in North China. In this paper, the correlation between spring DWF in Beijing and Tianjin observation stations, taken as examples in North China, and seasonally averaged surface air temperature, precipitation, Arctic Oscillation, Antarctic Oscillation, South Oscillation, near surface meridional wind and Eurasian westerly index is respectively calculated so as to construct a prediction model for spring DWF in North China by using these climatic factors. Two prediction models, i.e. model-I and model-II, are then set up respectively based on observed climate data and the 32-year (1970-2001) extra-seasonal hindcast experiment data as reproduced by the nine-level Atmospheric General Circulation Model developed at the Institute of Atmospheric Physics (IAP9L-AGCM). It is indicated that the correlation coefficient between the observed and predicted DWF reaches 0.933 in the model-I, suggesting a high prediction skill one season ahead. The corresponding value is high up to 0.948 for the subsequent model-II, which involves synchronous spring climate data reproduced by the IAP9L-AGCM relative to the model-I. The model-II can not only make more precise prediction but also can bring forward the lead time of real-time prediction from the model-I's one season to half year. At last, the real-time predictability of the two models is evaluated. It follows that both the models display high prediction skill for both the interannual variation and linear trend of spring DWF in North China, and each is also featured by different advantages. As for the model-II, the prediction skill is much higher than that of original approach by use of the IAP9L-AGCM alone. Therefore, the prediction idea put forward here should be popularized in other regions in China where dust weather occurs frequently.</t>
  </si>
  <si>
    <t>Chinese Acad Sci, Inst Atmospher Phys, Ctr Disastrous Climate Res &amp; Predict, Beijing 100029, Peoples R China</t>
  </si>
  <si>
    <t>Lang, XM (corresponding author), Chinese Acad Sci, Inst Atmospher Phys, Ctr Disastrous Climate Res &amp; Predict, Beijing 100029, Peoples R China.</t>
  </si>
  <si>
    <t>langxm@mail.iap.ac.cn</t>
  </si>
  <si>
    <t>10.1007/s11430-008-0048-x</t>
  </si>
  <si>
    <t>290ID</t>
  </si>
  <si>
    <t>WOS:000255115600008</t>
  </si>
  <si>
    <t>Möller, R</t>
  </si>
  <si>
    <t>Moeller, Ralf</t>
  </si>
  <si>
    <t>The use of sandwich elements for the Antarctic research station</t>
  </si>
  <si>
    <t>STAHLBAU</t>
  </si>
  <si>
    <t>German</t>
  </si>
  <si>
    <t>For construction of the space-enclosing elements for the new Antarctic research station Neumayer III, prefabricated sandwich elements were chosen as being suitable to withstand the harsh climatic conditions prevailing in the Antarctic. For laboratories and dwelling areas in the inner zone, sandwich elements with a mineral fibre core and glass-fibre reinforced cover sheets made from magnesium solid solution were used. This technology was adopted from the shipbuilding industry. For the envelope of the structure, sandwich elements with a core of the shipbuilding industry. For the envelope of the structure, sandwich elements with a core of polyurethane rigid foam and steel cover sheets with an organic coating were used as spaceenclosing elements. For some areas, a new fastening technique was developed.</t>
  </si>
  <si>
    <t>Poter &amp; Moller GmbH, D-57072 Siegen, Germany</t>
  </si>
  <si>
    <t>Möller, R (corresponding author), Poter &amp; Moller GmbH, Drei Pfosten 38, D-57072 Siegen, Germany.</t>
  </si>
  <si>
    <t>ERNST &amp; SOHN-A WILEY CO</t>
  </si>
  <si>
    <t>BERLIN</t>
  </si>
  <si>
    <t>BUEHRINGSTRASSE 10, BERLIN, D-13086, GERMANY</t>
  </si>
  <si>
    <t>0038-9145</t>
  </si>
  <si>
    <t>Stahlbau</t>
  </si>
  <si>
    <t>10.1002/stab.200810044</t>
  </si>
  <si>
    <t>Construction &amp; Building Technology; Engineering, Civil</t>
  </si>
  <si>
    <t>Construction &amp; Building Technology; Engineering</t>
  </si>
  <si>
    <t>305MD</t>
  </si>
  <si>
    <t>WOS:000256181600002</t>
  </si>
  <si>
    <t>Davenport, S</t>
  </si>
  <si>
    <t>Davenport, Stephen</t>
  </si>
  <si>
    <t>Arctic and Antarctic ice</t>
  </si>
  <si>
    <t>WEATHER</t>
  </si>
  <si>
    <t>0043-1656</t>
  </si>
  <si>
    <t>Weather</t>
  </si>
  <si>
    <t>408DA</t>
  </si>
  <si>
    <t>WOS:000263412800001</t>
  </si>
  <si>
    <t>Stroncik, NA; Niedermann, S; Haase, KM</t>
  </si>
  <si>
    <t>Stroncik, Nicole A.; Niedermann, Samuel; Haase, Karsten M.</t>
  </si>
  <si>
    <t>Plume-ridge interaction revisited: Evidence for melt mixing from He, Ne and Ar isotope and abundance systematics</t>
  </si>
  <si>
    <t>plume-ridge interaction; noble gases; mixing processes; partial melting; degassing</t>
  </si>
  <si>
    <t>PACIFIC-ANTARCTIC RIDGE; NOBLE-GASES; CARBON-DIOXIDE; TRACE-ELEMENTS; MANTLE; HELIUM; SOLUBILITY; FRACTIONATION; HOTSPOT; FLUID</t>
  </si>
  <si>
    <t>Submarine volcanic glass He, Ne and Ar data from the Pacific-Antarctic-Rise at its intersection with the Foundation Seamount Chain have been obtained to further elucidate one of the main outstanding problems in plume-ridge interaction studies: the physical state in which mantle flow and mixing occur in those settings. Mixing of plume mantle and mid-ocean ridge basalt source material may either be in the form of two solids, of solid-melt or of two melt phases only. The positive correlation of He-4/Ar-40* with Pb-206/Pb-204 as well as the negative correlation of He-4/Ar-40* with Ar-40* and He-4 concentrations, combined with a lack of correlation between He-4/Ar-40* and ridge depth or MgO concentration, indicate that the enriched mantle plume material has been extensively degassed prior to mixing with the mid-ocean ridge source material. Degassing of the plume source and mid-ocean ridge source material prior to mixing is also suggested by the He versus Pb isotope systematics. However, the occurrence of degassing processes requires the existence of melts, implying that mixing between the plume and the mid-ocean ridge material occurs in the physical form of melts. (c) 2008 Elsevier B.V. All rights reserved.</t>
  </si>
  <si>
    <t>[Stroncik, Nicole A.; Niedermann, Samuel] Geoforschungszentrum Potsdam, D-14473 Potsdam, Germany; [Haase, Karsten M.] Univ Aarhus, Dept Earth Sci, DK-8000 Aarhus C, Denmark; [Haase, Karsten M.] Univ Erlangen Nurnberg, Lehrstuhle Endogene Dynam, D-91054 Erlangen, Germany</t>
  </si>
  <si>
    <t>Helmholtz Association; Helmholtz-Center Potsdam GFZ German Research Center for Geosciences; Aarhus University; University of Erlangen Nuremberg</t>
  </si>
  <si>
    <t>Stroncik, NA (corresponding author), Geoforschungszentrum Potsdam, D-14473 Potsdam, Germany.</t>
  </si>
  <si>
    <t>nicole@gfz-potsdam.de</t>
  </si>
  <si>
    <t>Stroncik, Nicole A/N-7108-2014</t>
  </si>
  <si>
    <t>Haase, Karsten/0000-0003-4768-5978; Stroncik, Nicole/0000-0003-4647-5928; Niedermann, Samuel/0000-0003-1626-5284</t>
  </si>
  <si>
    <t>APR 30</t>
  </si>
  <si>
    <t>10.1016/j.epsl.2008.01.037</t>
  </si>
  <si>
    <t>297FZ</t>
  </si>
  <si>
    <t>WOS:000255603800016</t>
  </si>
  <si>
    <t>Lee, H; Cho, HH; Kim, IC; Yim, JH; Lee, HK; Lee, YK</t>
  </si>
  <si>
    <t>Lee, Hyoungseok; Cho, Hyun Hee; Kim, Il-Chan; Yim, Joung Han; Lee, Hong Kum; Lee, Yoo Kyung</t>
  </si>
  <si>
    <t>Expressed sequence tag analysis of Antarctic hairgrass Deschampsia antarctica from King George Island, Antarctica</t>
  </si>
  <si>
    <t>MOLECULES AND CELLS</t>
  </si>
  <si>
    <t>abiotic stress; Antarctic; Deschampsia antarcitca; expressed sequence tags (ESTs); King George Island; quantitative real time reverse transcription PCR (qRT-PCR)</t>
  </si>
  <si>
    <t>HEAT-SHOCK; COLD-ACCLIMATION; GENE-EXPRESSION; LOW-TEMPERATURE; PROTEINS; CDNA; IDENTIFICATION; FAMILY; LEAVES; OXYGEN</t>
  </si>
  <si>
    <t>Deschampsia antarctica is the only monocot that thrives in the tough conditions of the Antarctic region. It is an invaluable resource for the identification of genes associated with tolerance to various environmental pressures. In order to identify genes that are differentially regulated between greenhouse-grown and Antarctic field-grown plants, we initiated a detailed gene expression analysis. Antarctic plants were collected and greenhouse plants served as controls. Two different cDNA libraries were constructed with these plants. A total of 2,112 cDNA clones was sequenced and grouped into 1,199 unigene clusters consisting of 243 consensus and 956 singleton sequences. Using similarity searches against several public databases, we constructed a functional classification of the ESTs into categories such as genes related to responses to stimuli, as well as photosynthesis and metabolism. Real-time PCR analysis of various stress responsive genes revealed different patterns of regulation in the different environments, suggesting that these genes are involved in responses to specific environmental factors.</t>
  </si>
  <si>
    <t>[Lee, Hyoungseok; Cho, Hyun Hee; Kim, Il-Chan; Yim, Joung Han; Lee, Hong Kum; Lee, Yoo Kyung] Korea Ocean Res &amp; Dev Inst, Polar BioCtr, Korea Polar Res Inst KOPRI, Inchon 406840, South Korea</t>
  </si>
  <si>
    <t>Korea Polar Research Institute (KOPRI); Korea Institute of Ocean Science &amp; Technology (KIOST)</t>
  </si>
  <si>
    <t>Lee, YK (corresponding author), Korea Ocean Res &amp; Dev Inst, Polar BioCtr, Korea Polar Res Inst KOPRI, Inchon 406840, South Korea.</t>
  </si>
  <si>
    <t>yklee@kopri.re.kr</t>
  </si>
  <si>
    <t>Lee, Hyoungseok/0000-0002-5831-6345</t>
  </si>
  <si>
    <t>KOREAN SOC MOLECULAR &amp; CELLULAR BIOLOGY</t>
  </si>
  <si>
    <t>635-4, YUCKSAM-DONG, GANGNAM-GU, SEOUL 135-703, SOUTH KOREA</t>
  </si>
  <si>
    <t>1016-8478</t>
  </si>
  <si>
    <t>0219-1032</t>
  </si>
  <si>
    <t>MOL CELLS</t>
  </si>
  <si>
    <t>Mol. Cells</t>
  </si>
  <si>
    <t>Biochemistry &amp; Molecular Biology; Cell Biology</t>
  </si>
  <si>
    <t>301MZ</t>
  </si>
  <si>
    <t>WOS:000255901600016</t>
  </si>
  <si>
    <t>Williams, GD; Bindoff, NL; Marsland, SJ; Rintoul, SR</t>
  </si>
  <si>
    <t>Williams, G. D.; Bindoff, N. L.; Marsland, S. J.; Rintoul, S. R.</t>
  </si>
  <si>
    <t>Formation and export of dense shelf water from the Adelie Depression, East Antarctica</t>
  </si>
  <si>
    <t>MERTZ GLACIER POLYNYA; BOTTOM WATER; SOUTHERN-OCEAN; LAND; SEA; ICE; CIRCULATION; REGION; SLOPE</t>
  </si>
  <si>
    <t>Coastal polynyas in the Adelie Depression are an important source of Antarctic Bottom Water to the Australian-Antarctic Basin. We present time series (April 1998 to May 1999 and August 1999 to February 2000) of data from temperature-salinity sensors, in both the Adelie Depression and the known outflow region of the Adelie Sill, to describe the annual cycle of shelf water densities. From April through September, salinification beneath the polynya produces dense shelf waters. During September-October, shelf water densities in the depression peak at 27.94 kg m(-3), and the cooling and freshening signature of Ice Shelf Water is observed north of Buchanan Bay. In November-December, shelf water densities decrease as intrusions of warm and relatively fresh modified Circumpolar Deep Water enter east of the Adelie Sill. From January-March the surface layer is conditioned by the cooling of the atmosphere, which overturns the upper water column. At the Adelie Sill, observed daily mean currents were approximately 10 cm s(-1) with intense instantaneous currents greater than 50 cm s(-1) at the sill depth. Using an idealized outflow region with a rectangular cross-sectional area (6 x 10(6) m(2)), we present the first estimates of shelf water export by potential density class. Assuming shelf water with a minimum density of 27.88 kg m(-3) has sufficient negative buoyancy for downslope mixing and a fourfold volume increase (1: 3 mixing ratio) from entrainment, the dense shelf water export of 0.1-0.5 Sv results in an annual average production of bottom water in this region of between 0.4 and 2.0 Sv. The wide range in bottom water estimate results from data limitations, and a narrowing of this range requires further mooring observations.</t>
  </si>
  <si>
    <t>[Williams, G. D.; Bindoff, N. L.] Antartic Climate &amp; Ecosyst Coop Res Ctr, Hobart, Tas 7001, Australia; [Marsland, S. J.] CSIRO Marine &amp; Atmospher Res, Aspendale, Vic 3195, Australia; [Rintoul, S. R.] CSIRO Marine &amp; Atmospher Res, Hobart, Tas 7001, Australia</t>
  </si>
  <si>
    <t>Commonwealth Scientific &amp; Industrial Research Organisation (CSIRO); Commonwealth Scientific &amp; Industrial Research Organisation (CSIRO)</t>
  </si>
  <si>
    <t>Williams, GD (corresponding author), Antartic Climate &amp; Ecosyst Coop Res Ctr, Hobart, Tas 7001, Australia.</t>
  </si>
  <si>
    <t>guy.williams@acecrc.org.au; n.bindoff@utas.edu.au; simon.marsland@csiro.au; steve.rintoul@csiro.au</t>
  </si>
  <si>
    <t>Marsland, Simon J/A-1453-2012; Rintoul, Stephen R/A-1471-2012; Bindoff, Nathaniel Lee/IVV-0333-2023; Bindoff, Nathaniel Lee/C-8050-2011</t>
  </si>
  <si>
    <t>Marsland, Simon J/0000-0002-5664-5276; Rintoul, Stephen R/0000-0002-7055-9876; Bindoff, Nathaniel Lee/0000-0001-5662-9519; Bindoff, Nathaniel Lee/0000-0001-5662-9519</t>
  </si>
  <si>
    <t>APR 29</t>
  </si>
  <si>
    <t>C4</t>
  </si>
  <si>
    <t>C04039</t>
  </si>
  <si>
    <t>10.1029/2007JC004346</t>
  </si>
  <si>
    <t>297CP</t>
  </si>
  <si>
    <t>Bronze, Green Published, Green Accepted</t>
  </si>
  <si>
    <t>WOS:000255595000002</t>
  </si>
  <si>
    <t>Petkewich, R</t>
  </si>
  <si>
    <t>Petkewich, Rachel</t>
  </si>
  <si>
    <t>Cooling the planet</t>
  </si>
  <si>
    <t>The reflection of sulfate bby sunlight into the atmosphere to offset global warming destroys the ozone layer in polar regions. Injection of sulfate into the stratosphere delays recovery of the ozone hole over the Antarctic region by 30-70 years. Sulfate aerosols provide surfaces that strongly enhance chlorine reactions and therefore indirectly lead to ozone depletion.</t>
  </si>
  <si>
    <t>APR 28</t>
  </si>
  <si>
    <t>297NE</t>
  </si>
  <si>
    <t>WOS:000255622600015</t>
  </si>
  <si>
    <t>Bouchard, JN; Longhi, ML; Roy, S; Campbell, DA; Ferreyra, G</t>
  </si>
  <si>
    <t>Bouchard, J. N.; Longhi, M. L.; Roy, S.; Campbell, D. A.; Ferreyra, G.</t>
  </si>
  <si>
    <t>Interaction of nitrogen status and UVB sensitivity in a temperate phytoplankton assemblage</t>
  </si>
  <si>
    <t>chlorophyll fluorescence; D1 protein; nitrate availability; non-photochemical quenching; photoinhibition Phytoplankton; RuBisCO LSU; ultraviolet radiation (UVB)</t>
  </si>
  <si>
    <t>ULTRAVIOLET-B RADIATION; DUNALIELLA-TERTIOLECTA CHLOROPHYCEAE; XANTHOPHYLL-CYCLE PIGMENTS; PHOTOSYNTHETIC EFFICIENCY; ANTARCTIC PHYTOPLANKTON; CARBOXYLASE-OXYGENASE; DIADINOXANTHIN CYCLE; ENERGY-DISSIPATION; PHOTOSYSTEM-II; MARINE DIATOM</t>
  </si>
  <si>
    <t>The influence of nitrate supplementation and ultraviolet-B (UVB; 280-320 nm) enhancement was tested on a coastal phytoplankton assemblage from eastern Canada exposed to ambient or supplemental UVB irradiance, equivalent to a local 60% ozone depletion. During a 10 d-long mesocosm experiment, 24-h surface bag incubations were repeated three times with half the bags supplemented with nitrate, phosphate and silicate while the other half received only phosphate and silicate. At beginning and the end of these 24-h surface incubations, chlorophyll fluorescence measurements were performed and the abundance of photoprotective pigments diadinoxanthin and diatoxanhtin, of the PSII reaction center D1 protein and of the large subunit of the ribulose-1,5-biphosphate carboxylase/oxygenase enzyme (RuBisCO LSU) was determined. Results showed that as long as nutrients were abundant inside the mesocosms, phytoplankton exposed to supplemental UVB at the surface were able to maintain their maximal quantum yield of PSII fluorescence. As nutrients became limiting inside the mesosocoms, however, phytoplankton showed an increased sensitivity to supplemental UVB and suffered more net photodamage to the PSII reaction centers (seen as decreases in D1 protein abundance). Supplemental UVB also resulted in low abundance of RuBisCO LSU and exacerbated photoinhibition compared to the phytoplankton exposed to surface ambient irradiance. Supplementing nitrate during this nutrient deficient period limited the inactivation of the PSII reaction centers and lowered photoinhibition. Nitrate supplementation had no clear effect on the abundance of the D1 protein but it helped the community to maintain a greater abundance of RuBisCO LSU. Overall, results from this study suggest that the sensitivity of the RuBisCO enzyme to the combined effects of supplemental UVB and nitrate limitation can influence the tolerance of PSII to UVB stress. (c) 2008 Elsevier B.V. All rights reserved.</t>
  </si>
  <si>
    <t>[Bouchard, J. N.; Roy, S.; Ferreyra, G.] Univ Quebec, Inst Sci Mer Rimouski, Rimouski, PQ G5L 3A1, Canada; [Longhi, M. L.] Univ Quebec, Dept Sci Biol, Montreal, PQ H3B 3P8, Canada; [Campbell, D. A.] Mt Allison Univ, Dept Biol, Sackville, NB E4L 1G7, Canada; [Campbell, D. A.] Mt Allison Univ, Coastal Wetlands Inst, Sackville, NB E4L 1G7, Canada; [Ferreyra, G.] Inst Antarctico Argentino, RA-1010 Buenos Aires, DF, Argentina</t>
  </si>
  <si>
    <t>University of Quebec; University of Quebec; University of Quebec Montreal; Mount Allison University; Mount Allison University</t>
  </si>
  <si>
    <t>Bouchard, JN (corresponding author), Univ Ryukyus, Fac Sci, Okinawa 9030213, Japan.</t>
  </si>
  <si>
    <t>josee_bouchard@yahoo.com</t>
  </si>
  <si>
    <t>Campbell, Douglas A./B-3768-2010</t>
  </si>
  <si>
    <t>Campbell, Douglas A./0000-0001-8996-5463; Ferreyra, Gustavo Adolfo/0000-0003-1953-5067</t>
  </si>
  <si>
    <t>10.1016/j.jembe.2008.02.022</t>
  </si>
  <si>
    <t>304IV</t>
  </si>
  <si>
    <t>WOS:000256104100010</t>
  </si>
  <si>
    <t>Perlwitz, J; Pawson, S; Fogt, RL; Nielsen, JE; Neff, WD</t>
  </si>
  <si>
    <t>Perlwitz, Judith; Pawson, Steven; Fogt, Ryan L.; Nielsen, J. Eric; Neff, William D.</t>
  </si>
  <si>
    <t>Impact of stratospheric ozone hole recovery on Antarctic climate</t>
  </si>
  <si>
    <t>HEMISPHERE ATMOSPHERIC CIRCULATION; SOUTHERN ANNULAR MODE; TRENDS</t>
  </si>
  <si>
    <t>Model experiments have revealed that stratospheric polar ozone depletion and anthropogenic increase of greenhouse gases (GHG) have both contributed to the observed increase of summertime tropospheric westerlies in the Southern Hemisphere (SH) with the ozone influence dominating. As the stratospheric halogen loading decreases in the future, ozone is expected to return to higher values, with the disappearance of the Antarctic ozone hole. The impact of this ozone recovery on SH climate is investigated using 21st century simulations with a chemistry climate model (CCM). The model response to the ozone recovery by 2100 shows that tropospheric circulation changes during austral summer caused by ozone depletion between 1970 and 2000 almost reverse, despite increasing GHG concentrations. Comparison of the CCM results with multi-model scenario experiments from the Fourth Assessment Report (AR4) by the Intergovernmental Panel on Climate Change (IPCC) emphasize the importance of stratospheric ozone recovery for Antarctic climate.</t>
  </si>
  <si>
    <t>[Perlwitz, Judith; Fogt, Ryan L.; Neff, William D.] NOAA, Div Phys Sci, Earth Syst Res Lab, Boulder, CO 80305 USA; [Pawson, Steven; Nielsen, J. Eric] NASA, Goddard Space Flight Ctr, Global Modeling &amp; Assimilat Off, Greenbelt, MD 20771 USA; [Perlwitz, Judith] Univ Colorado, Cooperat Inst Res Environm Sci, Boulder, CO USA</t>
  </si>
  <si>
    <t>National Oceanic Atmospheric Admin (NOAA) - USA; National Aeronautics &amp; Space Administration (NASA); NASA Goddard Space Flight Center; University of Colorado System; University of Colorado Boulder</t>
  </si>
  <si>
    <t>Perlwitz, J (corresponding author), NOAA, Div Phys Sci, Earth Syst Res Lab, 325 Broadway, Boulder, CO 80305 USA.</t>
  </si>
  <si>
    <t>judith.perlwitz@noaa.gov</t>
  </si>
  <si>
    <t>Neff, William D/E-2725-2010; Fogt, Ryan L/B-6989-2008; Perlwitz, Judith/B-7201-2008; Pawson, Steven/I-1865-2014</t>
  </si>
  <si>
    <t>Neff, William D/0000-0003-4047-7076; Fogt, Ryan L/0000-0002-5398-3990; Perlwitz, Judith/0000-0003-4061-2442; Pawson, Steven/0000-0003-0200-717X</t>
  </si>
  <si>
    <t>APR 26</t>
  </si>
  <si>
    <t>L08714</t>
  </si>
  <si>
    <t>10.1029/2008GL033317</t>
  </si>
  <si>
    <t>295EW</t>
  </si>
  <si>
    <t>WOS:000255458800002</t>
  </si>
  <si>
    <t>Barré, N; Provost, C; Sennechael, N; Lee, JH</t>
  </si>
  <si>
    <t>Barre, Nicolas; Provost, Christine; Sennechael, Nathalie; Lee, Jae Hak</t>
  </si>
  <si>
    <t>Circulation in the Ona Basin, southern Drake Passage</t>
  </si>
  <si>
    <t>ANTARCTIC CIRCUMPOLAR CURRENT; FLOAT OBSERVATIONS; POLAR FRONT; VARIABILITY; OCEAN; SEA; WATER; TRANSPORT; LOCATION</t>
  </si>
  <si>
    <t>Five Argo floats trapped in the Ona Basin, in the southern Drake Passage, provided unprecedented information on the water masses and the circulation present in all the seasons from March 2002 to April 2006. Their profiles recorded evidence of deep-penetrating eddies, interleaving of water masses, and branching of the Southern Front of the Antarctic Circumpolar Current as it meets the Shackleton Fracture Zone. Ten-day mean-velocity estimates at the float parking depth ( 2000 db) often exceeded 15 cm s(-1), revealing the intensity of the mesoscale field. Satellite data showed that the trapping period of the floats corresponded to the presence of an anticyclonic meander of the polar front over a depression in the topography to the northwest of the Ona Basin. The presence of this meander seems to be linked to low-frequency modes of variability in sea surface height in the Yaghan Basin.</t>
  </si>
  <si>
    <t>[Barre, Nicolas; Provost, Christine; Sennechael, Nathalie] Univ Paris 06, LOCEAN, CNRS, UMR UPMC MNHN IRD 7159, F-75252 Paris 05, France; [Lee, Jae Hak] Korean Ocean Res &amp; Dev Inst, KORDI, Seoul 425600, South Korea</t>
  </si>
  <si>
    <t>Centre National de la Recherche Scientifique (CNRS); Sorbonne Universite; Museum National d'Histoire Naturelle (MNHN); Institut de Recherche pour le Developpement (IRD); Korea Institute of Ocean Science &amp; Technology (KIOST)</t>
  </si>
  <si>
    <t>Barré, N (corresponding author), Univ Paris 06, LOCEAN, CNRS, UMR UPMC MNHN IRD 7159, 4 Pl Jussieu,Tour 45-55,5E, F-75252 Paris 05, France.</t>
  </si>
  <si>
    <t>nicolas.barre@locean-ipsl.upmc.fr</t>
  </si>
  <si>
    <t>C04033</t>
  </si>
  <si>
    <t>10.1029/2007JC004549</t>
  </si>
  <si>
    <t>295FR</t>
  </si>
  <si>
    <t>WOS:000255460900004</t>
  </si>
  <si>
    <t>Mitra, A; Das, IML; Dash, MK; Bhandari, SM; Vyas, NK</t>
  </si>
  <si>
    <t>Mitra, Amitabh; Das, I. M. L.; Dash, Mihir Kumar; Bhandari, S. M.; Vyas, N. K.</t>
  </si>
  <si>
    <t>Impact of ice-albedo feedback on hemispheric scale sea-ice melting rates in the Antarctic using Multi-frequency Scanning Microwave Radiometer data</t>
  </si>
  <si>
    <t>CURRENT SCIENCE</t>
  </si>
  <si>
    <t>hemispheric scale; ice-albedo feedback; melting rate; sea-ice extent</t>
  </si>
  <si>
    <t>REGION; MSMR</t>
  </si>
  <si>
    <t>The sea-ice cover in the polar regions is one of the most expansive and seasonal geophysical parameters on the earth's surface. The presence or absence of sea-ice affects the atmosphere and the ocean, and therefore the climate in many ways. In this study we have used the Multi-frequency Scanning Microwave Radiometer (MSMR) brightness temperature data over the Antarctic/Southern Ocean region to calculate the weekly sea-ice extents, during the melting phase from August 1999 to March 2000 to quantitatively estimate the melting rates of sea-ice on a hemispheric scale. Compared to the melting rates based on the seasonal cycle of the solar irradiance, the MSMR-estimated melting rate remains less until the beginning of October and then rapidly increases to its peak value by the end of December. The observed melting rate behaviour indicates that apart from the seasonal cycle of solar irradiance, it is controlled by other mechanisms like the ice-albedo feedback. The present study estimates the feedback factor, response time and acceleration in the melting rate, which are important towards a better quantitative understanding of the future of Antarctic sea-ice variability, and the climate trends in the context of global warming.</t>
  </si>
  <si>
    <t>[Mitra, Amitabh; Das, I. M. L.] Univ Allahabad, K Banerjee Ctr Atmospher &amp; Ocean Studies, Allahabad 211002, Uttar Pradesh, India; [Das, I. M. L.] Univ Allahabad, Dept Phys, Allahabad 211002, Uttar Pradesh, India; [Dash, Mihir Kumar] Indian Inst Technol, Ctr Oceans Rivers Atmosphere &amp; Land Sci, Kharagpur 721302, W Bengal, India; [Bhandari, S. M.; Vyas, N. K.] Indian Space Res Org, Ctr Space Applicat, Ahmadabad 380015, Gujarat, India</t>
  </si>
  <si>
    <t>University of Allahabad; University of Allahabad; Indian Institute of Technology System (IIT System); Indian Institute of Technology (IIT) - Kharagpur; Department of Space (DoS), Government of India; Indian Space Research Organisation (ISRO); Space Applications Centre (SAC)</t>
  </si>
  <si>
    <t>Das, IML (corresponding author), Univ Allahabad, K Banerjee Ctr Atmospher &amp; Ocean Studies, Allahabad 211002, Uttar Pradesh, India.</t>
  </si>
  <si>
    <t>profimldas@yahoo.com</t>
  </si>
  <si>
    <t>INDIAN ACAD SCIENCES</t>
  </si>
  <si>
    <t>BANGALORE</t>
  </si>
  <si>
    <t>C V RAMAN AVENUE, SADASHIVANAGAR, P B #8005, BANGALORE 560 080, INDIA</t>
  </si>
  <si>
    <t>0011-3891</t>
  </si>
  <si>
    <t>CURR SCI INDIA</t>
  </si>
  <si>
    <t>Curr. Sci.</t>
  </si>
  <si>
    <t>APR 25</t>
  </si>
  <si>
    <t>296BA</t>
  </si>
  <si>
    <t>WOS:000255517300023</t>
  </si>
  <si>
    <t>Taylor, FW; Bevis, MG; Dalziel, IWD; Smalley, R; Frohlich, C; Kendrick, E; Foster, J; Phillips, D; Gudipati, K</t>
  </si>
  <si>
    <t>Taylor, Frederick W.; Bevis, Michael G.; Dalziel, Ian W. D.; Smalley, Robert, Jr.; Frohlich, Cliff; Kendrick, Eric; Foster, James; Phillips, David; Gudipati, Krishnavikas</t>
  </si>
  <si>
    <t>Kinematics and segmentation of the south Shetland islands-bransfield basin system, northern Antarctic Peninsula</t>
  </si>
  <si>
    <t>plate movements; bransfield basin; antarctic peninsula; south Shetland islands; microplate.</t>
  </si>
  <si>
    <t>PLATE BOUNDARY; STRAIT; DEFORMATION; MOTION; GPS; PROPAGATION; TECTONICS; EVOLUTION</t>
  </si>
  <si>
    <t>New GPS measurements demonstrate tectonic segmentation of the South Shetland Islands platform, regarded as a microplate separating the Antarctic Peninsula from the oceanic portion of the Antarctic plate. King George, Greenwich, and Livingston islands on the central and largest segment are separating from the Antarctic Peninsula at 7 - 9 mm/ a, moving NNW, roughly perpendicular to the continental margin. Smith and Low islands on the small southwestern segment are moving in the same direction, but at 2.2 - 3.0 mm/ a. The Elephant Island subgroup in the northeast moves at similar to 7 mm/ a relative to the Peninsula, like the central group, but toward the WNW. This implies that it is presently coupled to the Scotia plate on the northern side of the South Scotia Ridge transform boundary; thus the uplift of these northeasternmost islands may be caused by Scotia- Antarctic plate convergence rather than by subduction of thickened oceanic crust.</t>
  </si>
  <si>
    <t>[Taylor, Frederick W.; Dalziel, Ian W. D.; Frohlich, Cliff; Gudipati, Krishnavikas] Univ Texas Austin, Jackson Sch Geosci, Inst Geophys, Austin, TX 78758 USA; [Bevis, Michael G.; Kendrick, Eric] Ohio State Univ, Sch Earth Sci, Columbus, OH 43210 USA; [Smalley, Robert, Jr.] Univ Memphis, Ctr Earthquake Res &amp; Informat, Memphis, TN 38152 USA; [Foster, James] Univ Hawaii, Hawaii Inst Geophys &amp; Planetol, Honolulu, HI 96822 USA; [Phillips, David] UNAVCO Inc, Boulder, CO 80301 USA</t>
  </si>
  <si>
    <t>University of Texas System; University of Texas Austin; University System of Ohio; Ohio State University; University of Memphis; University of Hawaii System</t>
  </si>
  <si>
    <t>Taylor, FW (corresponding author), Univ Texas Austin, Jackson Sch Geosci, Inst Geophys, JJ Pickle Res Campus,Bldg 196,10100 Burnet Rd R22, Austin, TX 78758 USA.</t>
  </si>
  <si>
    <t>smalley@ceri.memphis.edu</t>
  </si>
  <si>
    <t>Taylor, Frederick/HKV-2523-2023; Dalziel, Ian W. D./G-5926-2010; Frohlich, Cliff/A-8573-2008; Foster, James/JXX-7559-2024; Foster, James/JYP-8164-2024; Taylor, Frederick/A-2195-2009</t>
  </si>
  <si>
    <t>Foster, James/0000-0003-2052-5798; Gudipati, Vikas/0000-0002-8787-635X</t>
  </si>
  <si>
    <t>APR 24</t>
  </si>
  <si>
    <t>Q04035</t>
  </si>
  <si>
    <t>10.1029/2007GC001873</t>
  </si>
  <si>
    <t>295EQ</t>
  </si>
  <si>
    <t>WOS:000255458200002</t>
  </si>
  <si>
    <t>Merico, A; Tyrrell, T; Wilson, PA</t>
  </si>
  <si>
    <t>Merico, Agostino; Tyrrell, Toby; Wilson, Paul A.</t>
  </si>
  <si>
    <t>Eocene/oligocene ocean de-acidification linked to Antarctic glaciation by sea-level fall</t>
  </si>
  <si>
    <t>EOCENE-OLIGOCENE TRANSITION; ATMOSPHERIC CARBON-DIOXIDE; CALCITE COMPENSATION; CENOZOIC GLACIATION; BIPOLAR GLACIATION; OXYGEN ISOTOPES; CYCLE; PALEOCEANOGRAPHY; ACCUMULATION; INITIATION</t>
  </si>
  <si>
    <t>One of the most dramatic perturbations to the Earth system during the past 100 million years was the rapid onset of Antarctic glaciation near the Eocene/ Oligocene epoch boundary(1-3) (similar to 34 million years ago). This climate transition was accompanied(3) by a deepening of the calcite compensation depth - the ocean depth at which the rate of calcium carbonate input from surface waters equals the rate of dissolution. Changes in the global carbon cycle(4), rather than changes in continental configuration(5), have recently been proposed as the most likely root cause of Antarctic glaciation, but the mechanism linking glaciation to the deepening of calcite compensation depth remains unclear. Here we use a global biogeochemical box model to test competing hypotheses put forward to explain the Eocene/ Oligocene transition. We find that, of the candidate hypotheses, only shelf to deep sea carbonate partitioning is capable of explaining the observed changes in both carbon isotope composition and calcium carbonate accumulation at the sea floor. In our simulations, glacioeustatic sea- level fall associated with the growth of Antarctic ice sheets permanently reduces global calcium carbonate accumulation on the continental shelves, leading to an increase in pelagic burial via permanent deepening of the calcite compensation depth. At the same time, fresh limestones are exposed to erosion, thus temporarily increasing global river inputs of dissolved carbonate and increasing seawater delta(13) C. Our work sheds new light on the mechanisms linking glaciation and ocean acidity change across arguably the most important climate transition of the Cenozoic era.</t>
  </si>
  <si>
    <t>[Merico, Agostino; Tyrrell, Toby; Wilson, Paul A.] Natl Oceanog Ctr, Southampton SO14 3ZH, Hants, England; [Merico, Agostino] GKSS Forschungszentrum Geesthacht GmbH, Inst Coastal Res, D-21502 Geesthacht, Germany</t>
  </si>
  <si>
    <t>NERC National Oceanography Centre; Helmholtz Association; Helmholtz-Zentrum Hereon</t>
  </si>
  <si>
    <t>Merico, A (corresponding author), Natl Oceanog Ctr, European Way, Southampton SO14 3ZH, Hants, England.</t>
  </si>
  <si>
    <t>agostino.merico@gkss.de</t>
  </si>
  <si>
    <t>; Merico, Agostino/C-1103-2013</t>
  </si>
  <si>
    <t>Wilson, Paul/0000-0001-6425-8906; Merico, Agostino/0000-0001-8095-8056</t>
  </si>
  <si>
    <t>Natural Environment Research Council [soc010008, NER/A/S/2003/00377] Funding Source: researchfish; NERC [soc010008] Funding Source: UKRI</t>
  </si>
  <si>
    <t>10.1038/nature06853</t>
  </si>
  <si>
    <t>291PF</t>
  </si>
  <si>
    <t>WOS:000255208600036</t>
  </si>
  <si>
    <t>Ravizza, G; Paquay, F</t>
  </si>
  <si>
    <t>Ravizza, Greg; Paquay, Francois</t>
  </si>
  <si>
    <t>Os isotope chemostratigraphy applied to organic-rich marine sediments from the Eocene-Oligocene transition on the West African margin (ODP Site 959)</t>
  </si>
  <si>
    <t>ATMOSPHERIC CARBON-DIOXIDE; SOUTHERN-OCEAN; ANTARCTIC GLACIATION; OS-187/OS-188 RECORD; EQUATORIAL ATLANTIC; GEOCHEMICAL CYCLE; CLIMATE-CHANGE; MIDDLE EOCENE; EARLY MIOCENE; MAUD-RISE</t>
  </si>
  <si>
    <t>The known temporal relationship between the benthic foraminiferal delta(18) O record and the marine Os isotope record is used to reinterpret the absolute chronology and paleoceanographic context of an episode of organic carbon burial on the West African margin Ocean Drilling Program (ODP) Site 959. Although organic-rich sediments require significant corrections for in situ decay of Re-187 to Os-187, these results demonstrate the utility of the marine Os isotope record for chemostratigraphic correlation of organic-rich sediments that are devoid of age diagnostic microfossils with pelagic carbonate sequences. Revision of the ODP Site 959 chronology shifts the age assignment of an interval of biosiliceous, organic-rich sediment deposition from the Oligocene to the late Eocene and earliest Oligocene, likely culminating with the first major glaciation of the Oligocene (Oi1). We speculate that enhanced organic carbon burial over much of the West African margin may have contributed to drawdown of atmospheric carbon dioxide before and during the Oi1 event and suggest that Os isotope chemostratigraphy provides a valuable tool for further exploring this possibility.</t>
  </si>
  <si>
    <t>[Ravizza, Greg; Paquay, Francois] Univ Hawaii, Dept Geol &amp; Geophys, Honolulu, HI 96822 USA</t>
  </si>
  <si>
    <t>Ravizza, G (corresponding author), Univ Hawaii, Dept Geol &amp; Geophys, 1680 E W Rd, Honolulu, HI 96822 USA.</t>
  </si>
  <si>
    <t>ravizza@hawaii.edu; paquay@hawaii.edu</t>
  </si>
  <si>
    <t>Ravizza, Greg/J-5104-2013</t>
  </si>
  <si>
    <t>PA2204</t>
  </si>
  <si>
    <t>10.1029/2007PA001460</t>
  </si>
  <si>
    <t>295GD</t>
  </si>
  <si>
    <t>WOS:000255462100001</t>
  </si>
  <si>
    <t>Hill, KL; Rintoul, SR; Coleman, R; Ridgway, KR</t>
  </si>
  <si>
    <t>Hill, K. L.; Rintoul, S. R.; Coleman, R.; Ridgway, K. R.</t>
  </si>
  <si>
    <t>Wind forced low frequency variability of the East Australia Current</t>
  </si>
  <si>
    <t>SOUTHERN-HEMISPHERE; CLIMATE-CHANGE; TRENDS; OCEAN; TEMPERATURE; CIRCULATION; REANALYSIS; SEA</t>
  </si>
  <si>
    <t>A 62 year record of temperature and salinity from a coastal station off southeast Australia shows a strong positive trend and quasi-decadal variability but the cause of the observed changes has not been explained. The temperature and salinity variations are highly correlated. The increase in temperature and salinity with time agrees closely with the mean meridional gradient of water properties along the continental slope, suggesting that changes in strength of the poleward extension of the East Australian Current are responsible for the observed variability. Interannual temperature and salinity changes are correlated (r = 0.7) with basin-scale winds and with transport through the Tasman Sea estimated from Island Rule, with the changes at the western boundary lagging the wind forcing by three years. We conclude that the trend and decadal variability in the coastal temperature and salinity record reflect the response of the subtropical gyre and western boundary current to basin-scale wind forcing.</t>
  </si>
  <si>
    <t>[Hill, K. L.; Rintoul, S. R.; Coleman, R.; Ridgway, K. R.] CSIRO Marine &amp; Atmospher Res, Hobart, Tas 7001, Australia; [Hill, K. L.; Coleman, R.] Univ Tasmania, Ctr Marine Sci, Hobart, Tas 7001, Australia; [Rintoul, S. R.; Ridgway, K. R.] Ctr Australian Weather &amp; Climate Res, Hobart, Tas, Australia; [Rintoul, S. R.; Coleman, R.] Antarctic Climate &amp; Ecosyst CRC, Hobart, Tas, Australia</t>
  </si>
  <si>
    <t>Commonwealth Scientific &amp; Industrial Research Organisation (CSIRO); University of Tasmania; Commonwealth Scientific &amp; Industrial Research Organisation (CSIRO); University of Tasmania</t>
  </si>
  <si>
    <t>Hill, KL (corresponding author), CSIRO Marine &amp; Atmospher Res, GPO Box 1538, Hobart, Tas 7001, Australia.</t>
  </si>
  <si>
    <t>katy.hill@csiro.au</t>
  </si>
  <si>
    <t>Rintoul, Stephen R/A-1471-2012; Ridgway, Ken/AAA-4040-2019; Coleman, Richard/H-4425-2012</t>
  </si>
  <si>
    <t>Rintoul, Stephen R/0000-0002-7055-9876; Ridgway, Ken/0000-0002-5861-1360; Coleman, Richard/0000-0002-9731-7498</t>
  </si>
  <si>
    <t>APR 23</t>
  </si>
  <si>
    <t>L08602</t>
  </si>
  <si>
    <t>10.1029/2007GL032912</t>
  </si>
  <si>
    <t>295ET</t>
  </si>
  <si>
    <t>WOS:000255458500002</t>
  </si>
  <si>
    <t>Summers, D; Ni, B; Meredith, NP; Horne, RB; Thorne, RM; Moldwin, MB; Anderson, RR</t>
  </si>
  <si>
    <t>Summers, Danny; Ni, Binbin; Meredith, Nigel P.; Horne, Richard B.; Thorne, Richard M.; Moldwin, Mark B.; Anderson, Roger R.</t>
  </si>
  <si>
    <t>Electron scattering by whistler-mode ELF hiss in plasmaspheric plumes</t>
  </si>
  <si>
    <t>EARTHS INNER MAGNETOSPHERE; RADIATION BELT ELECTRONS; PITCH-ANGLE DIFFUSION; OUTER-ZONE ELECTRONS; RELATIVISTIC ELECTRONS; EMIC WAVES; PLASMA; ACCELERATION; DENSITY; CHORUS</t>
  </si>
  <si>
    <t>Nonadiabatic loss processes of radiation belt energetic electrons include precipitation loss to the atmosphere due to pitch-angle scattering by various magnetospheric plasma wave modes. Here we consider electron precipitation loss due to pitch-angle scattering by whistler-mode ELF hiss in plasmaspheric plumes. Using wave observations and inferred plasma densities from the Plasma Wave Experiment on the Combined Release and Radiation Effects Satellite (CRRES), we analyze plume intervals for which well-determined hiss spectral intensities are available. We then select 14 representative plumes for detailed study, comprising 10 duskside plumes and 4 nonduskside plumes, with local hiss amplitudes ranging from maximum values of above 300 pT to minimum values of less than 1 pT. We estimate the electron loss timescale tau(loss) due to pitch-angle scattering by hiss in each chosen plume as a function of L-shell and electron energy; tau(loss) is calculated from quasi-linear theory as the inverse of the bounce-averaged diffusion rate evaluated at the equatorial loss cone angle. We find that pitch-angle scattering by hiss in plumes can be efficient for inducing precipitation loss of outer-zone electrons with energies throughout the range 100 keV to 1 MeV, though the magnitude of tau(loss) can be highly dependent on wave power, L-shell, and electron energy. For 100- to 200-keV electrons, typically tau(loss) similar to 1 day while the minimum loss timescale ( tau(loss))(min) similar to hours. For 500-keV to 1-MeV electrons, typically (tau(loss))(min) similar to days, while (tau(loss))(min) &lt; 1 day in the case of large wave amplitude (similar to 100's pT). Apart from inducing direct precipitation loss of MeV electrons, scattering by hiss in plumes may reduce the generation of MeV electrons by depleting the lower energy electron seed population. Models of the dynamical variation of the outer-zone electron flux should incorporate electron precipitation loss induced by ELF hiss scattering in plasmaspheric plumes.</t>
  </si>
  <si>
    <t>[Summers, Danny; Ni, Binbin] Mem Univ Newfoundland, Dept Math &amp; Stat, St John, NF A1C 5S7, Canada; [Meredith, Nigel P.; Horne, Richard B.] British Antarctic Survey, NERC, Cambridge CB3 0ET, England; [Thorne, Richard M.] Univ Calif Los Angeles, Dept Atmospher &amp; Ocean Sci, Los Angeles, CA 90095 USA; [Moldwin, Mark B.] Univ Calif Los Angeles, Inst Geophys &amp; Planetary Phys, Los Angeles, CA 90095 USA; [Moldwin, Mark B.] Univ Calif Los Angeles, Dept Earth &amp; Space Sci, Los Angeles, CA 90095 USA; [Anderson, Roger R.] Univ Iowa, Dept Phys &amp; Astron, Iowa City, IA 52242 USA</t>
  </si>
  <si>
    <t>Memorial University Newfoundland; UK Research &amp; Innovation (UKRI); Natural Environment Research Council (NERC); NERC British Antarctic Survey; University of California System; University of California Los Angeles; University of California System; University of California Los Angeles; University of California System; University of California Los Angeles; University of Iowa</t>
  </si>
  <si>
    <t>Summers, D (corresponding author), Mem Univ Newfoundland, Dept Math &amp; Stat, St John, NF A1C 5S7, Canada.</t>
  </si>
  <si>
    <t>dsummers@math.mun.ca; bbni@math.mun.ca; nmer@bas.ac.uk; r.horne@bas.ac.uk; rmt@atmos.ucla.edu; mmoldwin@igpp.ucla.edu; roger-r-anderson@uiowa.edu</t>
  </si>
  <si>
    <t>Horne, Richard B/U-3764-2019; Meredith, Nigel P/C-5806-2018; Ni, Binbin/I-5244-2013; Moldwin, Mark/F-8785-2011</t>
  </si>
  <si>
    <t>Horne, Richard B/0000-0002-0412-6407; Meredith, Nigel/0000-0001-5032-3463; Moldwin, Mark/0000-0003-0954-1770</t>
  </si>
  <si>
    <t>A4</t>
  </si>
  <si>
    <t>A04219</t>
  </si>
  <si>
    <t>10.1029/2007JA012678</t>
  </si>
  <si>
    <t>295FZ</t>
  </si>
  <si>
    <t>WOS:000255461700003</t>
  </si>
  <si>
    <t>Delmonte, B; Delmas, RJ; Petit, JR</t>
  </si>
  <si>
    <t>Delmonte, B.; Delmas, R. J.; Petit, J. -R.</t>
  </si>
  <si>
    <t>Comment on Dust provenance in Antarctic ice during glacial periods: From where in southern South America?'' by D. M. Gaiero</t>
  </si>
  <si>
    <t>EAST ANTARCTICA; ATMOSPHERIC CIRCULATION; ISOTOPIC CONSTRAINTS; DOME C; CORE; AEROSOL; SULFUR; ORIGIN; VOSTOK; EPICA</t>
  </si>
  <si>
    <t>[Delmonte, B.] Univ Milan, Dept Environm Sci, DISAT, I-20126 Milan, Italy; [Delmas, R. J.; Petit, J. -R.] Univ Grenoble 1, UMR 51230, CNRS, Lab Galciol &amp; Geophys Environm, F-38402 St Martin Dheres, France</t>
  </si>
  <si>
    <t>University of Milan; Centre National de la Recherche Scientifique (CNRS); Communaute Universite Grenoble Alpes; Universite Grenoble Alpes (UGA)</t>
  </si>
  <si>
    <t>Delmonte, B (corresponding author), Univ Milan, Dept Environm Sci, DISAT, Piazza Della Sci 1, I-20126 Milan, Italy.</t>
  </si>
  <si>
    <t>barbara.delmonte@unimib.it; delmas@lgge.obs.ujf-grenoble.fr; petit@lgge.obs.ujf-grenoble.fr</t>
  </si>
  <si>
    <t>Delmonte, Barbara/L-2555-2015</t>
  </si>
  <si>
    <t>Delmonte, Barbara/0000-0002-9074-2061</t>
  </si>
  <si>
    <t>APR 22</t>
  </si>
  <si>
    <t>L08707</t>
  </si>
  <si>
    <t>10.1029/2007GL032075</t>
  </si>
  <si>
    <t>295ES</t>
  </si>
  <si>
    <t>WOS:000255458400001</t>
  </si>
  <si>
    <t>Gaiero, DM</t>
  </si>
  <si>
    <t>Gaiero, Diego M.</t>
  </si>
  <si>
    <t>Reply to comment by B. Delmonte et al. on Dust provenance in Antarctic ice during glacial periods: From where in southern South America?''</t>
  </si>
  <si>
    <t>UNC, CONICET, CICTERRA, CIGeS, Cordoba, Argentina</t>
  </si>
  <si>
    <t>Consejo Nacional de Investigaciones Cientificas y Tecnicas (CONICET); National University of Cordoba</t>
  </si>
  <si>
    <t>Gaiero, DM (corresponding author), UNC, CONICET, CICTERRA, CIGeS, Sarsfield 1611,X5016GCA, Cordoba, Argentina.</t>
  </si>
  <si>
    <t>dgaiero@efn.uncor.edu</t>
  </si>
  <si>
    <t>Gaiero, Diego Marcelo/0000-0003-1029-2265</t>
  </si>
  <si>
    <t>L08708</t>
  </si>
  <si>
    <t>10.1029/2007GL032477</t>
  </si>
  <si>
    <t>WOS:000255458400002</t>
  </si>
  <si>
    <t>Wagener, T; Guieu, C; Losno, R; Bonnet, S; Mahowald, N</t>
  </si>
  <si>
    <t>Wagener, Thibaut; Guieu, Cecile; Losno, Remi; Bonnet, Sophie; Mahowald, Natalie</t>
  </si>
  <si>
    <t>Revisiting atmospheric dust export to the Southern Hemisphere ocean: Biogeochemical implications</t>
  </si>
  <si>
    <t>TRACE-METALS; ANTARCTIC PENINSULA; SIZE DISTRIBUTION; MINERAL AEROSOLS; DRY DEPOSITION; DESERT DUST; IRON; TRANSPORT; MODEL; ATLANTIC</t>
  </si>
  <si>
    <t>Aerosol concentrations in the Southern Hemisphere are largely undersampled. This study presents a chemical and physical description of dust particles collected on board research vessels in the southeast Pacific (SEPS) and the Southern Ocean (SOKS). Concentrations of dust were 6.1 +/- 2.4 ng m(-3) for SEPS and 13.0 +/- 6.3 ng m(-3) for SOKS. Dust fluxes, derived from those concentrations, were 9.9 +/- 3.7 mg m(-2) d(-1) for SEPS and 38 +/- 14 mg m(-2) d(-1) for SOKS and are shown to be representative of actual fluxes in those areas. Dust and iron deposition are up to 2 orders of magnitude lower than former predictions. A map of dust deposition on the Southern Hemisphere is proposed by incorporating those in situ measurements into a dust model. This study confirms that dust deposition is not the dominant source of iron to the large high-nutrient low-chlorophyll Southern Ocean.</t>
  </si>
  <si>
    <t>[Wagener, Thibaut; Guieu, Cecile] CNRS, Lab Oceanog Villefranche Mer, UMR 7093, F-06238 Villefranche Sur Mer, France; [Bonnet, Sophie] LOB, IRD, F-13288 Marseille, France; [Losno, Remi] CNRS, Fac Sci &amp; Technol, Lab Interuniv Syst Atmospher, UMR 7583, F-94010 Creteil, France; [Mahowald, Natalie] Natl Ctr Atmospher Res, Boulder, CO USA</t>
  </si>
  <si>
    <t>Centre National de la Recherche Scientifique (CNRS); CNRS - National Institute for Earth Sciences &amp; Astronomy (INSU); Sorbonne Universite; Institut de Recherche pour le Developpement (IRD); Centre National de la Recherche Scientifique (CNRS); CNRS - National Institute for Earth Sciences &amp; Astronomy (INSU); Universite Gustave-Eiffel; Universite Paris-Est-Creteil-Val-de-Marne (UPEC); Universite Paris Cite; National Center Atmospheric Research (NCAR) - USA</t>
  </si>
  <si>
    <t>Wagener, T (corresponding author), CNRS, Lab Oceanog Villefranche Mer, UMR 7093, BP 08, F-06238 Villefranche Sur Mer, France.</t>
  </si>
  <si>
    <t>Mahowald, Natalie M/D-8388-2013; Bonnet, Sophie/I-6274-2015; Guieu, Cecile/AAU-6883-2021; Losno, Rémi/AAE-9536-2019; bonnet, sophie/B-1627-2010</t>
  </si>
  <si>
    <t>Mahowald, Natalie M/0000-0002-2873-997X; Bonnet, Sophie/0000-0002-9886-8216; Guieu, Cecile/0000-0001-6373-8326; Losno, Rémi/0000-0003-0246-862X; wagener, thibaut/0000-0002-3968-0678</t>
  </si>
  <si>
    <t>GB2006</t>
  </si>
  <si>
    <t>10.1029/2007GB002984</t>
  </si>
  <si>
    <t>295EZ</t>
  </si>
  <si>
    <t>WOS:000255459100001</t>
  </si>
  <si>
    <t>Lyle, M; Barron, J; Bralower, TJ; Huber, M; Lyle, AO; Ravelo, AC; Rea, DK; Wilson, PA</t>
  </si>
  <si>
    <t>Lyle, Mitchell; Barron, John; Bralower, Timothy J.; Huber, Matthew; Lyle, Annette Olivarez; Ravelo, A. Christina; Rea, David K.; Wilson, Paul A.</t>
  </si>
  <si>
    <t>Pacific ocean and Cenozoic evolution of climate</t>
  </si>
  <si>
    <t>REVIEWS OF GEOPHYSICS</t>
  </si>
  <si>
    <t>CENTRAL EQUATORIAL PACIFIC; CALIFORNIA CURRENT SYSTEM; ATMOSPHERIC CARBON-DIOXIDE; OXYGEN-ISOTOPE EVIDENCE; ANTARCTIC CIRCUMPOLAR CURRENT; NORTHERN-HEMISPHERE CLIMATE; SEA-SURFACE TEMPERATURE; DEEP-WATER PRODUCTION; THERMOHALINE CIRCULATION; SIERRA-NEVADA</t>
  </si>
  <si>
    <t>The Pacific Ocean has played a major role in climate evolution throughout the Cenozoic (65-0 Ma). It is a fundamental component of global heat transport and circulation, the dominant locus of primary productivity, and, consequently, the largest reservoir for carbon exchange between the oceans and the atmosphere. A satisfactory understanding of the Cenozoic evolutionary history of the Pacific and its impact on global climate is currently data-limited. Nevertheless, the large dynamic range of Cenozoic conditions sets the stage to greatly expand our understanding of global climate and biogeochemical cycles. Past Earth experiments'' are particularly useful to understand interactions between climate and geosystems under different greenhouse gas loads. We highlight in this review four important problems in which the Pacific played a major role: the effect of changing geographic boundary conditions on ocean circulation; interactions between the carbon cycle and climate; the Pacific Ocean's influence on North American climate and its water cycle; and the gradual evolution of climate systems.</t>
  </si>
  <si>
    <t>[Lyle, Mitchell; Lyle, Annette Olivarez] Texas A&amp;M Univ, Dept Oceanog, College Stn, TX 77843 USA; [Barron, John] US Geol Survey, Menlo Pk, CA 94025 USA; [Bralower, Timothy J.] Penn State Univ, Dept Geosci, University Pk, PA 16802 USA; [Huber, Matthew] Purdue Univ, Dept Earth &amp; Atmospher Sci, W Lafayette, IN 47907 USA; [Ravelo, A. Christina] Univ Calif Santa Cruz, Dept Ocean Sci, Santa Cruz, CA 95064 USA; [Rea, David K.] Univ Michigan, Dept Geol Sci, Ann Arbor, MI 48109 USA; [Wilson, Paul A.] Southampton Oceanog Ctr, Southampton SO14 3ZH, Hants, England</t>
  </si>
  <si>
    <t>Texas A&amp;M University System; Texas A&amp;M University College Station; United States Department of the Interior; United States Geological Survey; Pennsylvania Commonwealth System of Higher Education (PCSHE); Pennsylvania State University; Pennsylvania State University - University Park; Purdue University System; Purdue University; University of California System; University of California Santa Cruz; University of Michigan System; University of Michigan; NERC National Oceanography Centre; University of Southampton</t>
  </si>
  <si>
    <t>Lyle, M (corresponding author), Texas A&amp;M Univ, Dept Oceanog, College Stn, TX 77843 USA.</t>
  </si>
  <si>
    <t>mlyle@ocean.tamu.edu</t>
  </si>
  <si>
    <t>Huber, Matthew/A-7677-2008</t>
  </si>
  <si>
    <t>Huber, Matthew/0000-0002-2771-9977; Ravelo, Ana Christina/0000-0003-3929-677X; Wilson, Paul/0000-0001-6425-8906; Barron, John/0000-0002-9309-1145</t>
  </si>
  <si>
    <t>8755-1209</t>
  </si>
  <si>
    <t>1944-9208</t>
  </si>
  <si>
    <t>REV GEOPHYS</t>
  </si>
  <si>
    <t>Rev. Geophys.</t>
  </si>
  <si>
    <t>APR 19</t>
  </si>
  <si>
    <t>RG2002</t>
  </si>
  <si>
    <t>10.1029/2005RG000190</t>
  </si>
  <si>
    <t>291NX</t>
  </si>
  <si>
    <t>WOS:000255205200001</t>
  </si>
  <si>
    <t>Dieckmann, GS; Nehrke, G; Papadimitriou, S; Göttlicher, J; Steininger, R; Kennedy, H; Wolf-Gladrow, D; Thomas, DN</t>
  </si>
  <si>
    <t>Dieckmann, Gerhard S.; Nehrke, Gernot; Papadimitriou, Stathys; Goettlicher, Joerg; Steininger, Ralph; Kennedy, Hilary; Wolf-Gladrow, Dieter; Thomas, David N.</t>
  </si>
  <si>
    <t>Calcium carbonate as ikaite crystals in Antarctic sea ice</t>
  </si>
  <si>
    <t>PRECIPITATION; CO2</t>
  </si>
  <si>
    <t>We report on the discovery of the mineral ikaite (CaCO(3)center dot 6H(2)O) in sea-ice from the Southern Ocean. The precipitation of CaCO(3) during the freezing of seawater has previously been predicted from thermodynamic modelling, indirect measurements, and has been documented in artificial sea ice during laboratory experiments but has not been reported for natural sea-ice. It is assumed that CaCO(3) formation in sea ice may be important for a sea ice-driven carbon pump in ice-covered oceanic waters. Without direct evidence of CaCO(3) precipitation in sea ice, its role in this and other processes has remained speculative. The discovery of CaCO(3)center dot 6H(2)O crystals in natural sea ice provides the necessary evidence for the evaluation of previous assumptions and lays the foundation for further studies to help elucidate the role of ikaite in the carbon cycle of the seasonally sea ice-covered regions.</t>
  </si>
  <si>
    <t>[Dieckmann, Gerhard S.; Nehrke, Gernot; Wolf-Gladrow, Dieter] Alfred Wegener Inst Polar &amp; Marine Res, D-27570 Bremerhaven, Germany; [Goettlicher, Joerg; Steininger, Ralph] Synchrotron Radiat Source ANKA Forschungszentrum, ISS, D-76344 Eggenstein Leopoldshafen, Germany; [Papadimitriou, Stathys; Kennedy, Hilary; Thomas, David N.] Univ Wales Bangor, Coll Nat Sci, Menai Bridge LL59 5AB, Gwynedd, Wales</t>
  </si>
  <si>
    <t>Helmholtz Association; Alfred Wegener Institute, Helmholtz Centre for Polar &amp; Marine Research; Bangor University</t>
  </si>
  <si>
    <t>Dieckmann, GS (corresponding author), Alfred Wegener Inst Polar &amp; Marine Res, Handelshafen 12, D-27570 Bremerhaven, Germany.</t>
  </si>
  <si>
    <t>gerhard.dieckmann@awi.de</t>
  </si>
  <si>
    <t>Kennedy, Hilary A/M-5574-2014; Dieckmann, Gerhard S/B-4307-2010; Wolf-Gladrow, Dieter A/E-7666-2010; Thomas, David Neville/B-1448-2010</t>
  </si>
  <si>
    <t>Kennedy, Hilary A/0000-0003-2290-2120; Thomas, David Neville/0000-0001-8832-5907; Nehrke, Gernot/0000-0002-2851-3049; Wolf-Gladrow, Dieter/0000-0001-9531-8668; Papadimitriou, Stathys/0000-0001-8540-1169</t>
  </si>
  <si>
    <t>Natural Environment Research Council [NER/A/S/2003/00340] Funding Source: researchfish</t>
  </si>
  <si>
    <t>APR 18</t>
  </si>
  <si>
    <t>L08501</t>
  </si>
  <si>
    <t>10.1029/2008GL033540</t>
  </si>
  <si>
    <t>291MO</t>
  </si>
  <si>
    <t>WOS:000255201700004</t>
  </si>
  <si>
    <t>Watkins, NW; Freeman, MP</t>
  </si>
  <si>
    <t>Watkins, Nicholas W.; Freeman, Mervyn P.</t>
  </si>
  <si>
    <t>Geoscience - Natural complexity</t>
  </si>
  <si>
    <t>MEMORY</t>
  </si>
  <si>
    <t>Watkins, NW (corresponding author), British Antarctic Survey, High Cross,Madingley Rd, Cambridge CB3 0ET, England.</t>
  </si>
  <si>
    <t>nww@bas.ac.uk; mpf@bas.ac.uk</t>
  </si>
  <si>
    <t>Watkins, Nick/GPX-7439-2022; Watkins, Nicholas Wynn/C-5140-2008; Freeman, Mervyn/E-5687-2019</t>
  </si>
  <si>
    <t>Watkins, Nick/0000-0003-4484-6588; Watkins, Nicholas Wynn/0000-0003-4484-6588; Freeman, Mervyn/0000-0002-8653-8279</t>
  </si>
  <si>
    <t>NERC [bas010021] Funding Source: UKRI; Natural Environment Research Council [bas010021] Funding Source: researchfish</t>
  </si>
  <si>
    <t>10.1126/science.1151611</t>
  </si>
  <si>
    <t>288ZZ</t>
  </si>
  <si>
    <t>WOS:000255026100026</t>
  </si>
  <si>
    <t>De Pina, GMA; Rauschert, M; De Broyer, C</t>
  </si>
  <si>
    <t>De Pina, Gloria M. Alonso; Rauschert, Martin; De Broyer, Claude</t>
  </si>
  <si>
    <t>A catalogue of the Antarctic and sub-Antarctic Phoxocephalidae (Crustacea: Amphipoda: Gammaridea) with taxonomic, distribution and ecological data</t>
  </si>
  <si>
    <t>ZOOTAXA</t>
  </si>
  <si>
    <t>amphipoda; phoxocephalidae; checklist; distribution; ecological notes; southern ocean; antarctic and sub-antarctic areas</t>
  </si>
  <si>
    <t>BENTHIC MACROINVERTEBRATES; PREDATORS; DIVERSITY; PATTERNS; GENUS</t>
  </si>
  <si>
    <t>An up-to-date catalogue of Antarctic and sub- Antarctic Phoxocephalidae is presented, including 35 species. Extensive list of bibliographical references with synonymy, detailed information on geographic and bathymetric distribution, ecological data, museum locations of type- material, remarks on taxonomic and biogeographical status, are provided for each species. The catalogue is based on taxonomic and ecological literature until 31 December 2006. Additional unpublished records of species from the Antarctic and sub- Antarctic collections held at the Alfred Wegener Institut fur Polar- und Meeresforschung, Bremerhaven, and at the Museo Argentino de Ciencias Naturales  Bernardino Rivadavia, Buenos Aires, have been included. The taxonomic status of all the Southern Ocean species has been checked. Species allocated to the genera Paraphoxus and Parharpinia, and Fuegiphoxus uncinatus require further study to clarify or confirm the genus allocation. Most of the Southern Ocean phoxocephalids have a wide bathymetric distribution, equally present in the Antarctic and sub- Antarctic regions. The highest species richness is found above 200 meters depth in the sub- Antarctic region. Of 35 phoxocephalid species reported, 25 are endemic to the Southern Ocean s. l., 15 are endemic to the Antarctic region and 6 are endemic to the sub- Antarctic region, the latter distributed only in the Magellan province. Endemicity at genus level attains 22% for the whole Southern Ocean, with 3 genera restricted to the Magellan province and one genus to the West Antarctic, Magellan and sub- Antarctic islands provinces. Habitat and substrate preferences, dietary and burrowing behaviours are scarcely known for most of the phoxocephalid species from the Southern Ocean.</t>
  </si>
  <si>
    <t>[De Pina, Gloria M. Alonso] Museo Argentina Ciencias Nat Bernardino Rivadavia, Div Invertebrados, RA-1405 Buenos Aires, DF, Argentina; [De Broyer, Claude] Royal Belgian Inst Nat Sci, Dpt Invertebrate Carcinol, B-1000 Brussels, Belgium</t>
  </si>
  <si>
    <t>Museo Argentino de Ciencias Naturales Bernardino Rivadavia (MACN); Royal Belgian Institute of Natural Sciences</t>
  </si>
  <si>
    <t>De Pina, GMA (corresponding author), Museo Argentina Ciencias Nat Bernardino Rivadavia, Div Invertebrados, Av Angel Gallardo 470, RA-1405 Buenos Aires, DF, Argentina.</t>
  </si>
  <si>
    <t>galonso@macn.gov.ar; claude.debroyer@naturalsciences.be</t>
  </si>
  <si>
    <t>MAGNOLIA PRESS</t>
  </si>
  <si>
    <t>AUCKLAND</t>
  </si>
  <si>
    <t>PO BOX 41383, AUCKLAND, ST LUKES 1030, NEW ZEALAND</t>
  </si>
  <si>
    <t>1175-5326</t>
  </si>
  <si>
    <t>1175-5334</t>
  </si>
  <si>
    <t>Zootaxa</t>
  </si>
  <si>
    <t>289RE</t>
  </si>
  <si>
    <t>WOS:000255070800001</t>
  </si>
  <si>
    <t>Holdsworth, G</t>
  </si>
  <si>
    <t>Holdsworth, Gerald</t>
  </si>
  <si>
    <t>A composite isotopic thermometer for snow</t>
  </si>
  <si>
    <t>DRONNING MAUD LAND; ICE-CORE; STABLE-ISOTOPES; OXYGEN-ISOTOPE; ANTARCTIC PRECIPITATION; CLIMATE VARIABILITY; VOSTOK STATION; TEMPERATURE; ACCUMULATION; GREENLAND</t>
  </si>
  <si>
    <t>The isotopic delta thermometer for snow is an equation that relates the isotopic d value (derived from O-18/O-16 or D/H values) to some prescribed reference temperature. In contrast to the usual linear least squares fit of mean annual isotopic versus site mean annual surface temperature &lt; T-s &gt;, a cubic equation is fitted to a composite, global, spatial (,&lt; T-S &gt;) data set. A +/- 4 parts per thousand local variance along the curve indicates that delta values are influenced by factors other than the temperature signal, but in the long-scale smoothing process these factors are filtered out. As &lt; T-s &gt; data over the complete range of raw temperatures are inhomogeneous, because of the existence of strong temperature inversions in the cold half, a transformation scheme is applied to homogenize the data. This produces a new series, &lt; T-atm &gt;. These values are more likely to be near the mean condensation temperature (&lt; T-c &gt;) of the snow. The slope, d /d &lt; T-atm &gt;, as a quadratic function of &lt; T-atm &gt;, best fits many published spatial and temporal slope determinations. The results have obvious application to the theory of isotopic processes not covered here. However, in an important practical application, the new equation can be utilized in the construction of diagrams of delta versus altitude where a delta value needs to be obtained from a known or calculated air temperature and where field data are gapped, especially at high altitude. Such diagrams can be used to demonstrate cases where site-specific delta thermometers may become invalid because of atmospheric structural changes, as shown in an associated paper that will be briefly outlined.</t>
  </si>
  <si>
    <t>Univ Calgary, Arct Inst N Amer, Calgary, AB T2N 1N4, Canada</t>
  </si>
  <si>
    <t>Holdsworth, G (corresponding author), Univ Calgary, Arct Inst N Amer, Calgary, AB T2N 1N4, Canada.</t>
  </si>
  <si>
    <t>gholdswo@ucalgary.ca</t>
  </si>
  <si>
    <t>APR 16</t>
  </si>
  <si>
    <t>D8</t>
  </si>
  <si>
    <t>D08102</t>
  </si>
  <si>
    <t>10.1029/2007JD008634</t>
  </si>
  <si>
    <t>291MV</t>
  </si>
  <si>
    <t>WOS:000255202400001</t>
  </si>
  <si>
    <t>Bourquin, M; van Beek, P; Reyss, JL; Soullaut, M; Charette, MA; Jeandel, C</t>
  </si>
  <si>
    <t>Bourquin, M.; van Beek, P.; Reyss, J. -L.; Soullaut, M.; Charette, M. A.; Jeandel, C.</t>
  </si>
  <si>
    <t>Comparison of techniques for pre-concentrating radium from seawater</t>
  </si>
  <si>
    <t>MARINE CHEMISTRY</t>
  </si>
  <si>
    <t>radium isotopes; extraction techniques; Mn-fiber; KEOPS; Southern Ocean</t>
  </si>
  <si>
    <t>ICP-MASS-SPECTROMETRY; SOUTHERN-OCEAN; THORIUM ISOTOPES; SURFACE WATERS; GROUNDWATER DISCHARGE; ANTARCTIC OCEAN; THERMAL WATERS; ATLANTIC-OCEAN; NATURAL-WATERS; INDIAN-OCEAN</t>
  </si>
  <si>
    <t>In the framework of the KEOPS project (KErguelen: compared study of the Ocean and the Plateau in Surface water), we aimed to provide information on the water mass pathways and vertical mixing on the Kerguelen Plateau, Southern Ocean, based on Ra-228 profiles. Because Ra-228 activities are extremely low in this area (similar to 0.1 dpm/100 kg or similar to 2.10(-18) g kg(-1)), the filtration of large volumes of seawater was required in order to be able to detect it with minimal uncertainty. This challenging study was an opportunity for us to test and compare methods aimed at removing efficiently radium isotopes from seawater. We used Mn-fiber that retains radium and that allows the measurement of all four radium isotopes (Ra-226, Ra-228, Ra-223, Ra-224). First, we used Niskin bottles or the ship's seawater intake to collect large volumes of seawater that were passed onto Mn-fiber in the laboratory. Second, we filled cartridges with Mn-fiber that we placed in tandem on in situ pumps. Finally, we fixed nylon nets filled with Mn-fiber on the frame of in situ pumps to allow the passive filtration of seawater during the pump deployment. Yields of radium fixation on the cartridges filled with Mn-fiber and placed on in situ pumps are ca. 30% when combining the two cartridges. Because large volumes of seawater can be filtered with these pumps, this yields to effective volumes of 177-280 kg (that is, higher than that recovered from fourteen 12-1 Niskin bottles). Finally, the effective volume of seawater that passed through Mn-fiber placed in nylon nets and deployed during 4 h ranged between 125 and 364 kg. Consequently, the two techniques that separate Ra isotopes in situ are good alternatives for pre-concentrating radium from seawater. They can save ship-time by avoiding repeated CTD casts to obtain the large volumes of seawater. This is especially true when in situ pumps are deployed to collect suspended particles. However, both methods only provide Ra-228/Ra-226 ratios. The determination of the 228Ra specific activity is obtained by multiplying this ratio by the Ra-226 activity measured in a discrete sample collected at the same water depth. (c) 2008 Elsevier B.V. All rights reserved.</t>
  </si>
  <si>
    <t>[Bourquin, M.; van Beek, P.; Soullaut, M.; Jeandel, C.] Observ Midi Pyrenees, CNRS CNES IRD UPS, LEGOS, F-31400 Toulouse, France; [Reyss, J. -L.] UVSQ, CEA, CNRS, LSCE, F-91198 Gif Sur Yvette, France; [Charette, M. A.] Woods Hole Oceanog Inst, Dept Marine Chem &amp; Geochem, Woods Hole, MA 02543 USA</t>
  </si>
  <si>
    <t>Universite de Toulouse; Universite Toulouse III - Paul Sabatier; Centre National de la Recherche Scientifique (CNRS); Institut de Recherche pour le Developpement (IRD); Laboratoire d'Etudes en Geophysique et oceanographie spatiales; Universite Paris Saclay; CEA; Centre National de la Recherche Scientifique (CNRS); Universite Paris Cite; Woods Hole Oceanographic Institution</t>
  </si>
  <si>
    <t>Bourquin, M (corresponding author), Observ Midi Pyrenees, CNRS CNES IRD UPS, LEGOS, 14 Ave Edouard Belin, F-31400 Toulouse, France.</t>
  </si>
  <si>
    <t>michael.bourquin@legos.obs-mip.fr</t>
  </si>
  <si>
    <t>Jeandel, Catherine/P-3789-2014; Charette, Matthew/I-9495-2012</t>
  </si>
  <si>
    <t>Jeandel, Catherine/0000-0002-4915-4719;</t>
  </si>
  <si>
    <t>0304-4203</t>
  </si>
  <si>
    <t>MAR CHEM</t>
  </si>
  <si>
    <t>Mar. Chem.</t>
  </si>
  <si>
    <t>10.1016/j.marchem.2008.01.002</t>
  </si>
  <si>
    <t>Chemistry, Multidisciplinary; Oceanography</t>
  </si>
  <si>
    <t>Chemistry; Oceanography</t>
  </si>
  <si>
    <t>305DJ</t>
  </si>
  <si>
    <t>WOS:000256157700005</t>
  </si>
  <si>
    <t>Delmonte, B; Andersson, PS; Hansson, M; Schöberg, H; Petit, JR; Basile-Doelsch, I; Maggi, V</t>
  </si>
  <si>
    <t>Delmonte, B.; Andersson, P. S.; Hansson, M.; Schoberg, H.; Petit, J. R.; Basile-Doelsch, I.; Maggi, V.</t>
  </si>
  <si>
    <t>Aeolian dust in East Antarctica (EPICA-Dome C and Vostok):: Provenance during glacial ages over the last 800 kyr</t>
  </si>
  <si>
    <t>ICE-CORE; ATMOSPHERIC CIRCULATION; ISOTOPIC CONSTRAINTS; CLIMATE; LOESS; CHRONOLOGY; TRANSPORT; PATAGONIA; MAXIMUM; CYCLES</t>
  </si>
  <si>
    <t>Aeolian mineral dust archived in Antarctic ice cores represents a key proxy for Quaternary climate evolution. The longest and most detailed dust and climate sequences from polar ice are provided today by the Vostok and by the EPICA-Dome C (EDC) ice cores. Here we investigate the geographic provenance of dust windborne to East Antarctica during Early and Middle Pleistocene glacial ages using strontium and neodymium isotopes as tracers. The isotopic signature of Antarctic dust points towards a dominant South American origin during Marine Isotopic Stage (MIS) 8, 10, 12, and back to MIS 16 and 20 as deduced from EDC core. Data provide evidence for a persistent overall westerly circulation pattern allowing efficient transfer of dust from South America to the interior of Antarctica over the last 800 kyr. Some small but significant dissimilarity between old and recent glacial ages suggests a slightly reduced Patagonian contribution during ancient glaciations.</t>
  </si>
  <si>
    <t>[Delmonte, B.] DISAT Univ Milano Bicocca, I-20126 Milan, Italy; [Andersson, P. S.; Schoberg, H.] Swedish Museum Nat Hist, Lab Isotope Geol, SE-10405 Stockholm, Sweden; [Basile-Doelsch, I.] Univ Paul Cezanne, CEREGE, F-13545 Aix En Provence 4, France; [Hansson, M.] Stockholm Univ, Dept Phys Geog &amp; Quatemary Geol, SE-10691 Stockholm, Sweden; [Petit, J. R.] Univ Grenoble 1, LGGE, CNRS, UMR 51230, F-38402 St Martin Dheres, France</t>
  </si>
  <si>
    <t>University of Milano-Bicocca; Swedish Museum of Natural History; Aix-Marseille Universite; Stockholm University; Communaute Universite Grenoble Alpes; Universite Grenoble Alpes (UGA); Centre National de la Recherche Scientifique (CNRS)</t>
  </si>
  <si>
    <t>Delmonte, B (corresponding author), DISAT Univ Milano Bicocca, Piazza Sci 1, I-20126 Milan, Italy.</t>
  </si>
  <si>
    <t>barbara.delmonte@unimib.it; per.andersson@nrm.se; margareta.hansson@natgeo.su.se; hans.schoberg@nrm.se; petit@lgge.obs.ujf-grenoble.fr; basile@cerege.fr</t>
  </si>
  <si>
    <t>Maggi, Valter/AAX-5728-2020; Basile, Isabelle IBD/B-4173-2010; Delmonte, Barbara/L-2555-2015; Maggi, Valter/E-1878-2014</t>
  </si>
  <si>
    <t>Maggi, Valter/0000-0001-6287-1213; Delmonte, Barbara/0000-0002-9074-2061;</t>
  </si>
  <si>
    <t>APR 15</t>
  </si>
  <si>
    <t>L07703</t>
  </si>
  <si>
    <t>10.1029/2008GL033382</t>
  </si>
  <si>
    <t>291MK</t>
  </si>
  <si>
    <t>WOS:000255201300004</t>
  </si>
  <si>
    <t>van Lipzig, NPM; Marshall, GJ; Orr, A; King, JC</t>
  </si>
  <si>
    <t>van Lipzig, Nicole P. M.; Marshall, Gareth J.; Orr, Andrew; King, John C.</t>
  </si>
  <si>
    <t>The relationship between the southern hemisphere annular mode and Antarctic Peninsula summer temperatures: Analysis of a high-resolution model climatology</t>
  </si>
  <si>
    <t>SURFACE MASS-BALANCE; LARSEN ICE SHELF; OROGRAPHIC DRAG; IN-SITU; VARIABILITY; OSCILLATION; TRENDS; PRECIPITATION; CIRCULATION; STABILITY</t>
  </si>
  <si>
    <t>The large regional summer warming on the east coast of the northern Antarctic Peninsula (AP), which has taken place since the mid-1960s, has previously been proposed to be caused by a trend in the Southern Hemisphere Annular Mode (SAM). The authors utilize a high-resolution regional atmospheric model climatology (14-km grid spacing) to study the mechanisms that determine the response of the near-surface temperature to an increase in the SAM (Delta T/Delta SAM). Month-to-month variations in near-surface temperature and surface pressure are well represented by the model. It is found that north of similar to 68 degrees S, Delta T/Delta SAM is much larger on the eastern (lee) side than on the western (windward) side of the barrier. This is because of the enhanced westerly flow of relatively warm air over the barrier, which warms (and dries) further as it descends down the lee slope. The downward motion on the eastern side of the barrier causes a decrease in surface-mass balance and cloud cover. South of similar to 68 degrees S, vertical deflection across the barrier is greatly reduced and the contrast in Delta T/Delta SAM between the east and west sides of the barrier vanishes. In the northeastern part of the AP, the modeled Delta T/Delta SAM distribution is similar to the distribution derived from satellite infrared radiometer data. The region of strongest modeled temperature sensitivity to the SAM is where ice shelf collapse has recently taken place and does not extend farther south over the Larsen-C Ice Shelf.</t>
  </si>
  <si>
    <t>[van Lipzig, Nicole P. M.] Katholieke Univ Leuven, Phys &amp; Reg Geog Res Grp, B-3001 Heverlee, Belgium; [Marshall, Gareth J.; King, John C.] British Antarctic Survey, Cambridge CB3 0ET, England; [Orr, Andrew] European Ctr Medium Range Weather Forecasts, Reading RG2 9AX, Berks, England</t>
  </si>
  <si>
    <t>KU Leuven; UK Research &amp; Innovation (UKRI); Natural Environment Research Council (NERC); NERC British Antarctic Survey; European Centre for Medium-Range Weather Forecasts (ECMWF)</t>
  </si>
  <si>
    <t>van Lipzig, NPM (corresponding author), Katholieke Univ Leuven, Phys &amp; Reg Geog Res Grp, Celestijnenlaan 200E, B-3001 Heverlee, Belgium.</t>
  </si>
  <si>
    <t>nicole.vanlipzig@geo.kuleuven.be</t>
  </si>
  <si>
    <t>van Lipzig, Nicole/ABF-2964-2021</t>
  </si>
  <si>
    <t>van Lipzig, Nicole/0000-0003-2899-4046</t>
  </si>
  <si>
    <t>10.1175/2007JCLI1695.1</t>
  </si>
  <si>
    <t>291CG</t>
  </si>
  <si>
    <t>WOS:000255169300001</t>
  </si>
  <si>
    <t>Lacroix, P; Dechambre, M; Legrésy, B; Blarel, F; Rémy, F</t>
  </si>
  <si>
    <t>Lacroix, P.; Dechambre, M.; Legresy, B.; Blarel, F.; Remy, F.</t>
  </si>
  <si>
    <t>On the use of the dual-frequency ENVISAT altimeter to determine snowpack properties of the Antarctic ice sheet</t>
  </si>
  <si>
    <t>REMOTE SENSING OF ENVIRONMENT</t>
  </si>
  <si>
    <t>altimeter; Antarctic ice sheet; snowpack properties; snow compaction; radar modelling</t>
  </si>
  <si>
    <t>TEMPORAL VARIABILITY; MICROWAVE EMISSION; SURFACE; RADAR; MODEL; FIRN; BACKSCATTER; GREENLAND; ACCUMULATION; TEMPERATURE</t>
  </si>
  <si>
    <t>The primary purpose of ice-sheet altimetry is to monitor the changes in ice-sheet topography which may impact on global sea-level. However, the altimetric signal is sensitive to different properties of the snowpack, and therefore can also be used to determine these properties. The radar altimeter onboard the European Space Agency's ENVISAT satellite provides a dual-frequency dataset at Ku (13.6 GHz) and S band (3.2 GHz). In this paper, these signals are studied over the Antarctic ice-sheet during the 4 first years of the mission (2002-2006), in order to retrieve snowpack properties. The altimeter signal can be described by 4 classical waveform parameters. The 4 year time-series of all these parameters are decomposed into a linear and a seasonal time component. The linear component is almost constant. The distribution of the mean parameters over the Antarctic ice-sheet shows that the altimeter signal is sensitive to small-scale (mm) surface roughness. For the first time, the amplitudes and phases of the seasonal variations are characterized. The S band amplitudes are greater than the Ku band, and the phase varies over the entire ice-sheet. Previous studies suggested that the seasonal variations of the altitude from the altimeter are created by a decrease of the snowpack height through compaction. The dual-frequency observations shown here suggest that this hypothesis is too simple. Instead, the altitude variations observed in the altimetric signal are not created by the snowpack height change, but are more likely caused by the seasonal change of the snow properties, which cause a different response between the S and Ku bands. Therefore, both the linear and the seasonal variations of the altimetric signal can be used to retrieve snowpack properties. Here, we compare the dual-frequency ENVISAT signal with a model of the altimetric echo over the Antarctic ice-sheet. The model combines a surface model with a sub-surface model, for both the S and Ku bands. The Brown model [Brown G. S. (1977). The average impulse response of a rough surface and its applications. IEEE Transactions on Antennas and Propagation, 25, 1.] is used to describe the interaction of the radar wave with the snow surface. The backscatter coefficient of the surface is derived using the IEM method [Fung, A. K. (1994). Microwave scattering and emission models and their applications, Boston, MA: Artech House.]. The sub-surface signal takes into account both the layering effects and the scattering caused by the homogeneous media which is composed of small snow grains. The model is tested in two areas of the Antarctic plateau which present very different waveform parameters. The sensitivity of the radar signal to the different snowpack properties is investigated. The analysis of the waveform behaviours shows that the sub-surface signal can be completely :masked by the small-scale surface roughness signal. Finally, the temperature and surface density effects are investigated in order to explain the seasonal variations of the altimetric signal. Both the temperature and the compaction rate of the snow change seasonally. Temperature is shown to impact on the Ku band signal. Furthermore; the compaction rate of the snow surface can explain all of the seasonal variation characteristics observed at both the S and Ku bands. The seasonal change of compaction rate in the snow creates a change in the waveform shape that can bias the altitude. In particular, the snow compaction can induce a bias in the retrieved altimetric altitude of more than 80 cm for the Ku band and 1.5 m for the S band. This work underlines that the altitude time-series needs to be corrected for the shape of the altimetric echo over ice-sheets. (c) 2007 Elsevier Inc. All rights reserved.</t>
  </si>
  <si>
    <t>[Lacroix, P.; Legresy, B.; Blarel, F.; Remy, F.] LEGOS, F-31400 Toulouse, France; [Dechambre, M.] CETP, F-78140 Velizy Villacoublay, France</t>
  </si>
  <si>
    <t>Lacroix, P (corresponding author), LEGOS, 14 Av Edouard Belin, F-31400 Toulouse, France.</t>
  </si>
  <si>
    <t>lacroix@notos.est.cnes.fr</t>
  </si>
  <si>
    <t>Lacroix, Pascal/A-4205-2010; legresy, benoit/K-6673-2018</t>
  </si>
  <si>
    <t>Blarel, Fabien/0000-0002-4744-0471; Lacroix, Pascal/0000-0003-1282-9572; legresy, benoit/0000-0002-1909-1630</t>
  </si>
  <si>
    <t>0034-4257</t>
  </si>
  <si>
    <t>1879-0704</t>
  </si>
  <si>
    <t>REMOTE SENS ENVIRON</t>
  </si>
  <si>
    <t>Remote Sens. Environ.</t>
  </si>
  <si>
    <t>10.1016/j.rse.2007.08.022</t>
  </si>
  <si>
    <t>Environmental Sciences; Remote Sensing; Imaging Science &amp; Photographic Technology</t>
  </si>
  <si>
    <t>Environmental Sciences &amp; Ecology; Remote Sensing; Imaging Science &amp; Photographic Technology</t>
  </si>
  <si>
    <t>288BP</t>
  </si>
  <si>
    <t>WOS:000254961500035</t>
  </si>
  <si>
    <t>Jenkins, A; Jacobs, S</t>
  </si>
  <si>
    <t>Jenkins, Adrian; Jacobs, Stan</t>
  </si>
  <si>
    <t>Circulation and melting beneath George VI Ice Shelf, Antarctica</t>
  </si>
  <si>
    <t>SOUTHEAST PACIFIC; POLAR ICE; PENINSULA; HOLOCENE; RETREAT; HELIUM; WEST; SEA</t>
  </si>
  <si>
    <t>Oceanographic data are presented from the eastern Bellingshausen Sea, representing the first near-contemporaneous sampling of conditions near both the northern and southern ice fronts of George VI Ice Shelf. Circumpolar Deep Water (CDW) with a temperature in excess of 1 degrees C floods the entire continental shelf and forms the main inflow to the cavity beneath the ice shelf. We use measurements of salinity, potential temperature, stable isotope ratios and dissolved oxygen, helium, and neon to show that the outflows contain meltwater in concentrations that rise to a maximum of around 3%. Assuming that the currents are in geostrophic balance, we calculate relative velocities along the ice front sections, then estimate the absolute velocity by inversion of the tracer conservation equations. We obtain an overall mean melt rate of 3-5 m a(-1) and a net south-to-north throughflow beneath the ice shelf of 0.17-0.27 Sv. The mean melt rate exceeds that required for equilibrium, consistent with recent observations of ice shelf thinning and retreat. Melting beneath the ice shelf drives upwelling of about 0.1 Sv in total of CDW into the surface mixed layer at the two ice fronts. The effective vertical heat flux per unit area of ice shelf cover is 8 W m(-2), more than 4 times that estimated for vertical diffusion through the main pycnocline of the neighboring open water region. The south-to-north throughflow carries a particularly strong signature of upwelled CDW, including low dissolved oxygen and high nutrient concentrations, north into Marguerite Bay.</t>
  </si>
  <si>
    <t>[Jenkins, Adrian] British Antarctic Survey, Nat Environm Res Council, Cambridge CB3 0ET, England; [Jacobs, Stan] Columbia Univ, Lamont Doherty Geol Observ, Palisades, NY 10964 USA</t>
  </si>
  <si>
    <t>UK Research &amp; Innovation (UKRI); Natural Environment Research Council (NERC); NERC British Antarctic Survey; Columbia University</t>
  </si>
  <si>
    <t>Jenkins, A (corresponding author), British Antarctic Survey, Nat Environm Res Council, High Cross,Madingley Rd, Cambridge CB3 0ET, England.</t>
  </si>
  <si>
    <t>Jenkins, Adrian/IUN-2406-2023</t>
  </si>
  <si>
    <t>APR 12</t>
  </si>
  <si>
    <t>C04013</t>
  </si>
  <si>
    <t>10.1029/2007JC004449</t>
  </si>
  <si>
    <t>289TR</t>
  </si>
  <si>
    <t>WOS:000255077300007</t>
  </si>
  <si>
    <t>Stramma, L; Brandt, P; Schafstall, J; Schott, F; Fischer, J; Körtzinger, A</t>
  </si>
  <si>
    <t>Stramma, Lothar; Brandt, Peter; Schafstall, Jens; Schott, Friedrich; Fischer, Juergen; Koertzinger, Arne</t>
  </si>
  <si>
    <t>Oxygen minimum zone in the North Atlantic south and east of the Cape Verde Islands</t>
  </si>
  <si>
    <t>TROPICAL ATLANTIC; SURFACE CIRCULATION; EQUATORIAL ATLANTIC; SEASONAL CYCLE; OCEAN; VARIABILITY; FLOW; BOUNDARY; SECTION; MODEL</t>
  </si>
  <si>
    <t>The open-ocean oxygen minimum zone (OMZ) south and east of the Cape Verde Islands is studied from CTD hydrography, ADCP velocities, Argo float trajectories, and historical data, with a focus on the zonal supply and drainage paths. The strongest oxygen minimum is located north of the North Equatorial Countercurrent (NECC) at about 400 to 500-m depth just above the boundary between Central Water and Antarctic Intermediate Water (AAIW). It is shown that the NECC, the North Equatorial Undercurrent at 4 to 6 degrees N, and a northern branch of the NECC at 8 to 10 degrees N are the sources for oxygen-rich water supplied to the OMZ in summer and fall. A weak eastward NECC at 200-m depth also exists in winter and spring as derived from Argo floats drifting at shallow levels. Historical oxygen data from 200-m depth confirm this seasonality showing high (low) oxygen content in summer and fall (spring) within the supply paths. Compared to the strong oxygen supply at 150 to 300-m depth, the ventilation of the OMZ at 300 to 600-m depth is weaker. Westward drainage of oxygen-poor water takes place north of the Guinea Dome, i.e., north of 10 degrees N, most pronounced at 400 to 600-m depth. In July 2006 the total eastward transport of both NECC bands above sigma(theta)= 27.1 kg m(-3) at 23 degrees W was about 13 Sv (1 Sv = 10(6) m(3) s(-1)). About half of this water volume circulates within the Guinea Dome or recirculates westward north of the Guinea Dome.</t>
  </si>
  <si>
    <t>[Stramma, Lothar; Brandt, Peter; Schafstall, Jens; Schott, Friedrich; Fischer, Juergen; Koertzinger, Arne] Univ Kiel, Leibniz Inst Meereswissensch, IFM GEOMAR, D-24105 Kiel, Germany</t>
  </si>
  <si>
    <t>Helmholtz Association; GEOMAR Helmholtz Center for Ocean Research Kiel; University of Kiel</t>
  </si>
  <si>
    <t>Stramma, L (corresponding author), Univ Kiel, Leibniz Inst Meereswissensch, IFM GEOMAR, D-24105 Kiel, Germany.</t>
  </si>
  <si>
    <t>lstramma@ifm-geomar.de</t>
  </si>
  <si>
    <t>Brandt, Peter/C-8254-2013; Fischer, Jürgen/A-4162-2014; Kortzinger, Arne/A-4141-2014</t>
  </si>
  <si>
    <t>Brandt, Peter/0000-0002-9235-955X; Kortzinger, Arne/0000-0002-8181-3593; Stramma, Lothar/0000-0003-1391-4808</t>
  </si>
  <si>
    <t>C04014</t>
  </si>
  <si>
    <t>10.1029/2007JC004369</t>
  </si>
  <si>
    <t>WOS:000255077300003</t>
  </si>
  <si>
    <t>Bingham, RG; Hubbard, AL; Nienow, PW; Sharp, MJ</t>
  </si>
  <si>
    <t>Bingham, Robert G.; Hubbard, Alun L.; Nienow, Peter W.; Sharp, Martin J.</t>
  </si>
  <si>
    <t>An investigation into the mechanisms controlling seasonal speedup events at a High Arctic glacier</t>
  </si>
  <si>
    <t>POLYTHERMAL GLACIER; VELOCITY-FIELDS; MCCALL GLACIER; SURFACE MELT; BASAL MOTION; GREENLAND; FLOW; STRESS; HYDROLOGY; EVOLUTION</t>
  </si>
  <si>
    <t>Seasonal variations in ice motion have been observed at several polythermal ice masses across the High Arctic, including the Greenland Ice Sheet. However, such variations in ice motion and their possible driving mechanisms are rarely incorporated in models of the response of High Arctic ice masses to predicted climate warming. Here we use a three-dimensional finite difference flow model, constrained by field data, to investigate seasonal variations in the distribution of basal sliding at polythermal John Evans Glacier, Ellesmere Island, Canada. Our results suggest that speedups observed at the surface during the melt season result directly from changes in rates of basal motion. They also suggest that stress gradient coupling is ineffective at transmitting basal motion anomalies to the upper part of the glacier, in contrast to findings from an earlier flow line study at the same glacier. We suggest that stress gradient coupling is limited through the effect of high drag imposed by a partially frozen bed and friction induced by valley walls and significant topographic pinning points. Our findings imply that stress gradient coupling may play a limited role in transmitting supraglacially forced basal motion anomalies through Arctic valley and outlet glaciers with complex topographic settings and highlight the importance of dynamically incorporating basal motion into models predicting the response of the Arctic's land ice to climate change.</t>
  </si>
  <si>
    <t>[Bingham, Robert G.] British Antarctic Survey, Natl Environm Res Council, Cambridge CB3 0ET, England; [Hubbard, Alun L.] Univ Wales, Dept Geog &amp; Earth Sci, Ctr Glaciol, Aberystwyth SY23 3DB, Dyfed, Wales; [Hubbard, Alun L.; Nienow, Peter W.] Univ Edinburgh, Sch Geosci, Edinburgh EH8 9XP, Midlothian, Scotland; [Sharp, Martin J.] Univ Alberta, Dept Earth &amp; Atmospher Sci, Edmonton, AB T6G 2E3, Canada</t>
  </si>
  <si>
    <t>UK Research &amp; Innovation (UKRI); Natural Environment Research Council (NERC); NERC British Antarctic Survey; Aberystwyth University; University of Edinburgh; University of Alberta</t>
  </si>
  <si>
    <t>Bingham, RG (corresponding author), British Antarctic Survey, Natl Environm Res Council, High Cross,Madingley Rd, Cambridge CB3 0ET, England.</t>
  </si>
  <si>
    <t>rgbi@bas.ac.uk</t>
  </si>
  <si>
    <t>Hubbard, Alun/R-5085-2017; Bingham, Robert G/G-3576-2017</t>
  </si>
  <si>
    <t>Hubbard, Alun/0000-0002-0503-3915; Bingham, Robert G/0000-0002-0630-2021</t>
  </si>
  <si>
    <t>APR 11</t>
  </si>
  <si>
    <t>F02006</t>
  </si>
  <si>
    <t>10.1029/2007JF000832</t>
  </si>
  <si>
    <t>289TM</t>
  </si>
  <si>
    <t>WOS:000255076800001</t>
  </si>
  <si>
    <t>Clilverd, MA; Rodger, CJ; Gamble, R; Meredith, NP; Parrot, M; Berthelier, JJ; Thomson, NR</t>
  </si>
  <si>
    <t>Clilverd, Mark A.; Rodger, Craig J.; Gamble, Rory; Meredith, Nigel P.; Parrot, Michel; Berthelier, Jean-Jacques; Thomson, Neil R.</t>
  </si>
  <si>
    <t>Ground-based transmitter signals observed from space: Ducted or nonducted?</t>
  </si>
  <si>
    <t>EARTHS INNER MAGNETOSPHERE; ELECTRON-SCATTERING LOSS; WHISTLER-MODE SIGNALS; PRECIPITATION; RADIATION; ABSORPTION; DENSITY; PATHS</t>
  </si>
  <si>
    <t>The principal loss mechanism for electrons from the inner radiation belt (1.2 &lt; L &lt; 2.0) and slot region (2.0 &lt; L &lt; 3.0) is atmospheric precipitation driven by several processes, including coulomb collisions, plasmaspheric hiss, lightning-generated whistlers, and manmade transmissions. Several studies have shown that ducted and nonducted VLF waves can precipitate radiation belt energetic electrons into the upper atmosphere. Here we investigate the propagation of VLF communication transmitter signals using plasma wave instruments on board the CRRES and DEMETER satellites in order to determine if nonducted transmitter signals are significant in radiation belt loss processes. We investigate the regions where strong transmitter signals are observed in the ionosphere directly above the transmitter, in the magnetosphere near where the signals cross the geomagnetic equator, and in the ionospheric region geomagnetically conjugate to the transmitter. For very low L-shell transmitters (L &lt; 1.5) there is evidence that a significant proportion of the wave energy propagating into the plasmasphere is nonducted. However, at higher L-shells the waves become highly ducted in the plasmasphere. Strong evidence for this comes from the lack of significant wave power propagating above the electron half gyrofrequency limit for interhemispherically ducted waves. We conclude that manmade transmissions in the frequency range (18-25 kHz) will be restricted to driving electron precipitation primarily from the inner radiation belt (L = 1.3-2.5). This will come about through a combination of propagation types, partly through nonducted wave propagation at very low L-shells (L = 1.3-1.5), but predominantly through ducted wave propagation at higher L-shells (L = 1.5-2.5), ultimately limited by the electron half-gyrofrequency limit for ducted waves.</t>
  </si>
  <si>
    <t>[Clilverd, Mark A.; Meredith, Nigel P.] British Antarctic Survey, Div Phys Sci, Cambridge CB3 0ET, England; [Rodger, Craig J.; Gamble, Rory; Thomson, Neil R.] Univ Otago, Dept Phys, Dunedin, New Zealand; [Berthelier, Jean-Jacques] Ctr Etud Environm Terrestre &amp; Planetaires, St Maur Des Fosses, France; [Parrot, Michel] Lab Phys &amp; Chim Environm, F-45071 Orleans, France</t>
  </si>
  <si>
    <t>UK Research &amp; Innovation (UKRI); Natural Environment Research Council (NERC); NERC British Antarctic Survey; University of Otago</t>
  </si>
  <si>
    <t>Clilverd, MA (corresponding author), British Antarctic Survey, Div Phys Sci, High Cross,Madingley Rd, Cambridge CB3 0ET, England.</t>
  </si>
  <si>
    <t>m.clilverd@bas.ac.uk; crodger@physics.otago.ac.nz; rgamble@physics.otago.ac.nz; nmer@bas.ac.uk; mparrot@cnrs-orleans.fr; jacques.berthelier@cetp.ipsl.fr; thomson@physics.otago.ac.nz</t>
  </si>
  <si>
    <t>Meredith, Nigel P/C-5806-2018; Rodger, Craig/A-1501-2011</t>
  </si>
  <si>
    <t>Meredith, Nigel/0000-0001-5032-3463; Rodger, Craig J./0000-0002-6770-2707; Parrot, Michel/0000-0003-0905-5721; Horne, Richard/0000-0002-0412-6407</t>
  </si>
  <si>
    <t>A04211</t>
  </si>
  <si>
    <t>10.1029/2007JA012602</t>
  </si>
  <si>
    <t>289UJ</t>
  </si>
  <si>
    <t>WOS:000255079100003</t>
  </si>
  <si>
    <t>Eisen, O; Frezzotti, M; Genthon, C; Isaksson, E; Magand, O; van den Broeke, MR; Dixon, DA; Ekaykin, A; Holmlund, P; Kameda, T; Karlöf, L; Kaspari, S; Lipenkov, VY; Oerter, H; Takahashi, S; Vaughan, DG</t>
  </si>
  <si>
    <t>Eisen, Olaf; Frezzotti, Massimo; Genthon, Christophe; Isaksson, Elisabeth; Magand, Olivier; van den Broeke, Michiel R.; Dixon, Daniel A.; Ekaykin, Alexey; Holmlund, Per; Kameda, Takao; Karlof, Lars; Kaspari, Susan; Lipenkov, Vladimir Y.; Oerter, Hans; Takahashi, Shuhei; Vaughan, David G.</t>
  </si>
  <si>
    <t>Ground-based measurements of spatial and temporal variability of snow accumulation in east Antarctica</t>
  </si>
  <si>
    <t>DRONNING-MAUD-LAND; SURFACE MASS-BALANCE; LAMBERT GLACIER BASIN; PAST 2 KYR; ELECTROMAGNETIC-WAVE SPEED; NORTHERN VICTORIA-LAND; HIGH-RESOLUTION RADAR; GREENLAND ICE-SHEET; SOUTH-POLE; DOME-C</t>
  </si>
  <si>
    <t>The East Antarctic Ice Sheet is the largest, highest, coldest, driest, and windiest ice sheet on Earth. Understanding of the surface mass balance (SMB) of Antarctica is necessary to determine the present state of the ice sheet, to make predictions of its potential contribution to sea level rise, and to determine its past history for paleoclimatic reconstructions. However, SMB values are poorly known because of logistic constraints in extreme polar environments, and they represent one of the biggest challenges of Antarctic science. Snow accumulation is the most important parameter for the SMB of ice sheets. SMB varies on a number of scales, from small-scale features (sastrugi) to ice-sheet-scale SMB patterns determined mainly by temperature, elevation, distance from the coast, and wind-driven processes. In situ measurements of SMB are performed at single points by stakes, ultrasonic sounders, snow pits, and firn and ice cores and laterally by continuous measurements using ground-penetrating radar. SMB for large regions can only be achieved practically by using remote sensing and/or numerical climate modeling. However, these techniques rely on ground truthing to improve the resolution and accuracy. The separation of spatial and temporal variations of SMB in transient regimes is necessary for accurate interpretation of ice core records. In this review we provide an overview of the various measurement techniques, related difficulties, and limitations of data interpretation; describe spatial characteristics of East Antarctic SMB and issues related to the spatial and temporal representativity of measurements; and provide recommendations on how to perform in situ measurements.</t>
  </si>
  <si>
    <t>[Eisen, Olaf; Oerter, Hans] Stiftung Alfred Wegener Inst Polarund Meeresforsc, D-27515 Bremerhaven, Germany; [Dixon, Daniel A.; Kaspari, Susan] Univ Maine, Dept Earth Sci, Edward T Byrand Global Sci Ctr, Orono, ME 04469 USA; [Ekaykin, Alexey; Lipenkov, Vladimir Y.] Arctic &amp; Antarctic Res Inst, St Petersburg 199397, Russia; [Frezzotti, Massimo] ENEA Lab Climate Observat, I-00123 Rome, Italy; [Genthon, Christophe; Magand, Olivier] Univ Grenoble 1, CNRS, LGGE, F-38402 St Martin Dheres, France; [Holmlund, Per] Stockholm Univ, Dept Phys Geog &amp; Quaternary Geol, SE-10691 Stockholm, Sweden; [Isaksson, Elisabeth] Polar Environm Ctr, Norwegian Polar Inst, N-9296 Tromso, Norway; [Kameda, Takao; Takahashi, Shuhei] Snow &amp; Ice Res Lab, Kitami, Hokkaido 0908507, Japan; [van den Broeke, Michiel R.] Univ Utrecht, Inst Marine &amp; Atmospher Res, NL-3508 TA Utrecht, Netherlands; [Vaughan, David G.] British Antarctic Survey, NERC, Cambridge CB3 0ET, England</t>
  </si>
  <si>
    <t>Helmholtz Association; Alfred Wegener Institute, Helmholtz Centre for Polar &amp; Marine Research; University of Maine System; University of Maine Orono; Arctic &amp; Antarctic Research Institute; Centre National de la Recherche Scientifique (CNRS); Communaute Universite Grenoble Alpes; Universite Grenoble Alpes (UGA); Stockholm University; Norwegian Polar Institute; Utrecht University; UK Research &amp; Innovation (UKRI); Natural Environment Research Council (NERC); NERC British Antarctic Survey</t>
  </si>
  <si>
    <t>Eisen, O (corresponding author), Stiftung Alfred Wegener Inst Polarund Meeresforsc, Postfach 120161, D-27515 Bremerhaven, Germany.</t>
  </si>
  <si>
    <t>olaf.eisen@awi.de; frezzotti@casaccia.enea.it; genthon@lgge.obs.ujf-grenoble.fr; elli@npolar.no; magand@lgge.obs.ujf-grenoble.fr; m.r.vandenbroeke@phys.uu.nl; daniel_dixon@umit.maine.edu; ekaykin@aari.nw.ru; per.holmlund@natgeo.su.se; kameda@mail.kitami-it.ac.jp; l.karlof@swixsport.no; susan.kaspari@maine.edu; lipenkov@aari.nw.ru; hans.oerter@awi.de; shuhei@mail.kitami-it.ac.jp; dgv@bas.ac.uk</t>
  </si>
  <si>
    <t>Vaughan, David/C-8348-2011; Eisen, Olaf/K-3846-2012; FREZZOTTI, Massimo/AAK-7275-2020; Ekaykin, Alexey A./K-9894-2015; Van den Broeke, Michiel R./F-7867-2011; Lipenkov, Vladimir/Q-8262-2016</t>
  </si>
  <si>
    <t>Eisen, Olaf/0000-0002-6380-962X; FREZZOTTI, Massimo/0000-0002-2461-2883; Van den Broeke, Michiel R./0000-0003-4662-7565; Lipenkov, Vladimir/0000-0003-4221-5440; Vaughan, David/0000-0002-9065-0570; Takahashi, Shuhei/0000-0003-2303-8928; Kameda, Takao/0000-0001-6317-4399</t>
  </si>
  <si>
    <t>RG2001</t>
  </si>
  <si>
    <t>10.1029/2006RG000218</t>
  </si>
  <si>
    <t>289UP</t>
  </si>
  <si>
    <t>WOS:000255079700001</t>
  </si>
  <si>
    <t>Moore, P; King, MA</t>
  </si>
  <si>
    <t>Moore, Philip; King, Matt A.</t>
  </si>
  <si>
    <t>Antarctic ice mass balance estimates from GRACE: Tidal aliasing effects</t>
  </si>
  <si>
    <t>GLACIAL-ISOSTATIC-ADJUSTMENT; TO-SATELLITE TRACKING; GRAVITY-FIELD; GRAVIMETRY</t>
  </si>
  <si>
    <t>Geophysical interpretation of GRACE gravity fields has provided estimates of Antarctic ice mass change. Such analyses rely on proper consideration of ocean tidal effects through the models CSR4 and FES2004. In general, mis-modeling of tidal constituents with aliasing period less than 30 day will not have significant impact on ice mass change. However, for constituents, such as K1, K2, and S2, the aliasing period is sufficiently large to potentially compromise long-term variability studies. Here we quantify tidal aliasing over Antarctica by simulating GRACE signatures due to differences between CSR4 and FES2004, and the best available circum-Antarctic model, TPXO6.2. The S2 simulations are in close agreement with the observed S2 signal from GRACE. Simulations of ice mass change show that over 2002-2006 long-term K1 and K2 aliasing is equivalent to a rate error of 4.5 +/- 1.3 km(3)/a of ice with CSR4, but only 0.2 +/- 0.2 km(3)/a with FES2004. After spatial averaging and destriping, K1 plus K2 mis-modeling in CSR4 (FES2004) introduce point-wise errors up to 5 (2) mm/a in equivalent water height over a 3.5 year period. With observed mass change equivalent to less than 30 mm/a of water height over much of Antarctica, the simulations show tidal aliasing uncertainty at the 2-3 mm/a level for August 2002-January 2006, or similar to 10% of the signal. With GRACE Release 04, the revised estimate (April 2002-January 2006) of published ice volume decrease is 164 +/- 80 km(3)/a of ice, although this value depends very much on the GIA model and GRACE analysis approach.</t>
  </si>
  <si>
    <t>[Moore, Philip; King, Matt A.] Newcastle Univ, Sch Civil Engn &amp; Geosci, Newcastle Upon Tyne NE1 7RU, Tyne &amp; Wear, England</t>
  </si>
  <si>
    <t>Newcastle University - UK</t>
  </si>
  <si>
    <t>Moore, P (corresponding author), Newcastle Univ, Sch Civil Engn &amp; Geosci, Newcastle Upon Tyne NE1 7RU, Tyne &amp; Wear, England.</t>
  </si>
  <si>
    <t>philip.moore@newcastle.ac.uk; m.a.king@newcastle.ac.uk</t>
  </si>
  <si>
    <t>King, Matt/B-4622-2008</t>
  </si>
  <si>
    <t>King, Matt/0000-0001-5611-9498; Moore, Philip/0000-0001-5141-3743</t>
  </si>
  <si>
    <t>APR 10</t>
  </si>
  <si>
    <t>F02005</t>
  </si>
  <si>
    <t>10.1029/2007JF000871</t>
  </si>
  <si>
    <t>289TL</t>
  </si>
  <si>
    <t>WOS:000255076700002</t>
  </si>
  <si>
    <t>Florindo, F; Nelson, AE; Haywood, AM</t>
  </si>
  <si>
    <t>Florindo, Fabio; Nelson, Anna E.; Haywood, Alan M.</t>
  </si>
  <si>
    <t>Introduction to 'Antarctic cryosphere and Southern Ocean climate evolution (Cenozoic-Holocene)'</t>
  </si>
  <si>
    <t>PALAEOGEOGRAPHY PALAEOCLIMATOLOGY PALAEOECOLOGY</t>
  </si>
  <si>
    <t>ORBITALLY-INDUCED OSCILLATIONS; OLIGOCENE BATHYMETRIC CHANGES; WESTERN ROSS SEA; ICE-SHEET; PRYDZ BAY; SOUTHWEST PACIFIC; EARLY MIOCENE; HISTORY; MARGIN; SEDIMENTATION</t>
  </si>
  <si>
    <t>[Florindo, Fabio] Ist Nazl Geofis &amp; Vulcanol, I-00143 Rome, Italy; [Nelson, Anna E.] British Antarctic Survey, Cambridge CB3 0ET, England; [Haywood, Alan M.] Univ Leeds, Sch Earth &amp; Environm, Leeds LS2 9JT, W Yorkshire, England</t>
  </si>
  <si>
    <t>Istituto Nazionale Geofisica e Vulcanologia (INGV); UK Research &amp; Innovation (UKRI); Natural Environment Research Council (NERC); NERC British Antarctic Survey; University of Leeds</t>
  </si>
  <si>
    <t>Florindo, F (corresponding author), Ist Nazl Geofis &amp; Vulcanol, Via Vigna Murata 605, I-00143 Rome, Italy.</t>
  </si>
  <si>
    <t>florindo@ingv.it</t>
  </si>
  <si>
    <t>Florindo, Fabio/F-4119-2010; Florindo, Fabio/M-1459-2019; Florindo, Fabio/AAU-2548-2021</t>
  </si>
  <si>
    <t>Florindo, Fabio/0000-0002-6058-9748; Florindo, Fabio/0000-0002-6058-9748;</t>
  </si>
  <si>
    <t>0031-0182</t>
  </si>
  <si>
    <t>1872-616X</t>
  </si>
  <si>
    <t>PALAEOGEOGR PALAEOCL</t>
  </si>
  <si>
    <t>Paleogeogr. Paleoclimatol. Paleoecol.</t>
  </si>
  <si>
    <t>APR 7</t>
  </si>
  <si>
    <t>10.1016/j.palaeo.2007.12.001</t>
  </si>
  <si>
    <t>Geography, Physical; Geosciences, Multidisciplinary; Paleontology</t>
  </si>
  <si>
    <t>Physical Geography; Geology; Paleontology</t>
  </si>
  <si>
    <t>294VQ</t>
  </si>
  <si>
    <t>WOS:000255434800001</t>
  </si>
  <si>
    <t>Fielding, CR; Whittaker, J; Henrys, SA; Wilson, TJ; Naish, TR</t>
  </si>
  <si>
    <t>Fielding, Christopher R.; Whittaker, Joanne; Henrys, Stuart A.; Wilson, Terry J.; Naish, Timothy R.</t>
  </si>
  <si>
    <t>Seismic facies and stratigraphy of the Cenozoic succession in McMurdo Sound, Antarctica: Implications for tectonic, climatic and glacial history</t>
  </si>
  <si>
    <t>29th Symposium of the Scientific-Committee-on-Antarctic-Research (SCAR XXIX)</t>
  </si>
  <si>
    <t>JUL 08-20, 2006</t>
  </si>
  <si>
    <t>Hobart, AUSTRALIA</t>
  </si>
  <si>
    <t>seismic stratigraphy; seismic facies; Cenozoic; Antarctica; glacial; climate change</t>
  </si>
  <si>
    <t>ORBITALLY-INDUCED OSCILLATIONS; OLIGOCENE BATHYMETRIC CHANGES; WESTERN ROSS SEA; ICE-SHEET; WANGANUI BASIN; VICTORIA-LAND; RIFT-BASIN; MARGIN; ARCHITECTURE; ISLAND</t>
  </si>
  <si>
    <t>Integration of data from fully cored stratigraphic holes with an extensive grid of seismic reflection lines in McMurdo Sound, Antarctica, has allowed the formulation of a new model for the evolution of the Cenozoic Victoria Land Basin of the West Antarctic Rift. The Early Rift phase (Eocene to Early Oligocene) is recorded by wedges of strata confined by early extensional faults, and which contain seismic facies consistent with drainage via coarse-grained fans and deltas into discrete, actively subsiding grabens and half-grabens. The Main Rift phase (Early Oligocene to Early Miocene) is represented by a lens of strata that thickens symmetrically from the basin margins into a central depocenter, and in which stratal events pass continuously over the top of the Early Rift extensional topography. Internal seismic facies and lithofacies indicate a more organized, cyclical shallow marine succession, influenced increasingly upward by cycles of glacial advance and retreat into the basin. The Passive Thermal Subsidence phase (Early Middle Miocene) is recorded by an evenly distributed sheet of strata that thickens somewhat into the depocentre but is continuous across and over the earlier rift strata to the margins of the basin. Internally, it contains similar facies to the underlying Main Rift, but preserves more evidence for clinoform sets and large channels, and in core comprises many short, condensed and strongly top-truncated stratal cycles with continued, periodic glacial influence. These patterns are interpreted to record accumulation under similar environmental conditions but in a regime of slower subsidence. The Renewed Rifting phase (Middle Miocene to Recent, largely unsampled by coring thus far) is represented by intervals that thicken significantly into the basin depocentre and that are complicated by evidence of magmatic activity (McMurdo Volcanic Group). This succession is further divided into lower and upper intervals, separated by a major unconformity that displays increasing angular discordance towards the western basin margin and Transantarctic Mountain Front. The youngest part of the stratigraphy was accumulated under the influence of flexural loading imposed by the construction of large volcanic edifices, and was formed in an environment in which little sediment was supplied from the western basin margin, suggesting a change in environmental (glacial) conditions at possibly c. 2 Ma. Them Cenozoic stratigraphy of, the southern Victoria Land Basin preserves archives of both climate change and the complex rift history of the basin, and coincidences between key stratal surfaces in seismic data and evidence for environmental change in drillcores suggest that tectonic and climatic drivers may be causally linked. (C) 2007 Elsevier B.V. All rights reserved.</t>
  </si>
  <si>
    <t>[Fielding, Christopher R.] Univ Nebraska, Dept Geosci, Lincoln, NE 68588 USA; [Whittaker, Joanne] Victoria Univ Wellington, Sch Earth Sci, Wellington, New Zealand; [Henrys, Stuart A.; Naish, Timothy R.] GNS Sci, Lower Hutt, New Zealand; [Wilson, Terry J.] Ohio State Univ, Sch Earth Sci, Columbus, OH 43210 USA</t>
  </si>
  <si>
    <t>University of Nebraska System; University of Nebraska Lincoln; Victoria University Wellington; GNS Science - New Zealand; University System of Ohio; Ohio State University</t>
  </si>
  <si>
    <t>Fielding, CR (corresponding author), Univ Nebraska, Dept Geosci, 214 Bessey Hall, Lincoln, NE 68588 USA.</t>
  </si>
  <si>
    <t>cfielding2@unl.edu</t>
  </si>
  <si>
    <t>Henrys, Stuart/ABD-7378-2020; Whittaker, Joanne/B-3695-2010</t>
  </si>
  <si>
    <t>Henrys, Stuart/0000-0002-7164-5274; Whittaker, Joanne/0000-0002-3170-3935; Naish, Tim/0000-0002-1185-9932</t>
  </si>
  <si>
    <t>10.1016/j.palaeo.2007.08.016</t>
  </si>
  <si>
    <t>WOS:000255434800002</t>
  </si>
  <si>
    <t>Passchier, S; Krissek, LA</t>
  </si>
  <si>
    <t>Passchier, S.; Krissek, L. A.</t>
  </si>
  <si>
    <t>Oligocene-Miocene Antarctic continental weathering record and paleoclimatic implications, Cape Roberts drilling project, Ross Seal, Antarctica</t>
  </si>
  <si>
    <t>Cenozoic; Antarctica; continental; chemical weathering; CIA</t>
  </si>
  <si>
    <t>VICTORIA LAND BASIN; GLACIATION; CHEMISTRY; SEDIMENTS; CLIMATE; EUSTASY; EOCENE; RATES; MG/CA</t>
  </si>
  <si>
    <t>The bulk chemistry of mudrocks in Ross Sea drillcores on the Antarctic inner shelf is re-evaluated to extract records of continental paleotemperatures and ice extent. The chemical index of alteration (CIA) of the sedimentary sequence derived from the composite of the Cape Roberts cores changes in accordance with PCO2 [Pagani, M., Zachos, J.C., Freeman, K.H., Tipple, B., Bohaty, S., 2005. Marked change in atmospheric carbon dioxide concentrations during the Paleogene, Science 309, 600-603]. The (K2O+Na2O)/ Al2O3 molar ratio of the mudrocks is used as a mean summer temperature proxy for continental Antarctica and it shows similarities with benthic Mg/Ca temperatures for the Southern Ocean [Billups, K., Schrag, D.P., 2002. Paleotemperatures and ice-volume of the past 27 myr revisited with paired Mg/Ca and stable isotope measurements on benthic foraminifera. Paleoceanography 17. doi 10.1029/2000PA000567]. The ratio is calibrated using intervals with significant pollen assemblages and the temperature proxy enables extrapolation of the paleoclimatic data over a larger portion of the drilled record. The CIA and (K+Na)/Al ratios support a persistent cooling and drying of climate through the Oligocene-Miocene transition. The results reinforce the strong coupling between East Antarctic continental temperatures and ice volume, with deep-sea temperatures and concentrations of atmospheric carbon over long timescales. (C) 2008 Elsevier B.V. All rights reserved.</t>
  </si>
  <si>
    <t>[Passchier, S.] Montclair State Univ, Dept Earth &amp; Environm Studies, Montclair, NJ 07043 USA; [Krissek, L. A.] Ohio State Univ, Sch Earth Sci, Columbus, OH 43210 USA</t>
  </si>
  <si>
    <t>Montclair State University; University System of Ohio; Ohio State University</t>
  </si>
  <si>
    <t>Passchier, S (corresponding author), Montclair State Univ, Dept Earth &amp; Environm Studies, 252 Mallory Hall,1 Normal Ave, Montclair, NJ 07043 USA.</t>
  </si>
  <si>
    <t>passchiers@mail.montclair.edu</t>
  </si>
  <si>
    <t>Passchier, Sandra/B-1993-2008; Passchier, Sandra/GYU-2381-2022; Passchier, Sandra/AAQ-2243-2021</t>
  </si>
  <si>
    <t>Passchier, Sandra/0000-0001-7204-7025; Passchier, Sandra/0000-0001-7204-7025</t>
  </si>
  <si>
    <t>10.1016/j.palaeo.2007.08.012</t>
  </si>
  <si>
    <t>WOS:000255434800003</t>
  </si>
  <si>
    <t>Pekar, SF; Christie-Blick, N</t>
  </si>
  <si>
    <t>Pekar, Stephen F.; Christie-Blick, Nicholas</t>
  </si>
  <si>
    <t>Resolving apparent conflicts between oceanographic and Antarctic climate records and evidence for a decrease in pCO2 during the Oligocene through early Miocene (34-16 Ma)</t>
  </si>
  <si>
    <t>Oligocene; Miocene; ice volume; sea level; Antarctica; oxygen isotopes</t>
  </si>
  <si>
    <t>GLOBAL SEA-LEVEL; VICTORIA LAND BASIN; ICE-SHEET; ROSS SEA; CONTINENTAL-MARGIN; GLACIATION; SEQUENCES; CHRONOLOGY; BOUNDARY; CALCITE</t>
  </si>
  <si>
    <t>An apparent mismatch between published oxygen isotopic data and other paleoclimate proxies for the span from 26-16 Ma is resolved by calibration against global sea-level estimates obtained from backstripping continental margin stratigraphy. Ice-volume estimates from calibrated oxygen isotope data compare favorably with stratigraphic and palynological data from Antarctica, and with estimates of atmospheric pCO(2) throughout the Oligocene to early Miocene (34-16 Ma). Isotopic evidence for an East Antarctic Ice Sheet (EAIS) as much as 30% larger than its present-day volume at glacial maxima during that span is consistent with seismic reflection and stratigraphic evidence for an ice sheet covering much of the Antarctic continental shelf at the same glacial maxima. Palynological data suggest long-term cooling during the Oligocene, with cold near-tundra environments developing along the coast at glacial minima no later than the late Oligocene. A possible mechanism for this long-term cooling is a decrease in atmospheric pCO(2) from the middle Eocene to Oligocene, reaching near pre-industrial levels by the latest Oligocene, and remaining at those depressed levels throughout the Miocene. Published by Elsevier B.V.</t>
  </si>
  <si>
    <t>[Pekar, Stephen F.] CUNY Queens Coll, Sch Earth &amp; Environm Sci, Flushing, NY 11367 USA; [Pekar, Stephen F.; Christie-Blick, Nicholas] Columbia Univ, Lamont Doherty Earth Observ, Palisades, NY 10964 USA; [Christie-Blick, Nicholas] Columbia Univ, Dept Earth &amp; Environm Sci, Palisades, NY 10964 USA</t>
  </si>
  <si>
    <t>City University of New York (CUNY) System; Queens College NY (CUNY); Columbia University; Columbia University</t>
  </si>
  <si>
    <t>Pekar, SF (corresponding author), CUNY Queens Coll, Sch Earth &amp; Environm Sci, 65-30 Kissena Blvd, Flushing, NY 11367 USA.</t>
  </si>
  <si>
    <t>pekar@ldeo.columbia.edu; ncb@ldeo.columbia.edu</t>
  </si>
  <si>
    <t>Christie-Blick, Nicholas/HOF-8770-2023</t>
  </si>
  <si>
    <t>10.1016/j.palaeo.2007.08.019</t>
  </si>
  <si>
    <t>WOS:000255434800004</t>
  </si>
  <si>
    <t>Dunbar, GB; Naish, TR; Barrett, PJ; Fielding, CR; Powell, RD</t>
  </si>
  <si>
    <t>Dunbar, G. B.; Naish, T. R.; Barrett, P. J.; Fielding, C. R.; Powell, R. D.</t>
  </si>
  <si>
    <t>Constraining the amplitude of late Oligocene bathymetric changes in Western Ross Sea during orbitally-induced oscillations in the East Antarctic Ice Sheet: (1) Implications for glacimarine sequence stratigraphic models</t>
  </si>
  <si>
    <t>cape roberts project; oligocene; paleobathymetry; sequence stratigraphy; glaciomarine facies; Antarctica</t>
  </si>
  <si>
    <t>CARBON-DIOXIDE CONCENTRATIONS; STABLE-ISOTOPE; WANGANUI BASIN; EARLY MIOCENE; NEW-ZEALAND; CALIBRATION; CLIMATE; EUSTASY; RECORDS; PALEOBATHYMETRY</t>
  </si>
  <si>
    <t>Late Oligocene shallow glacimarine sequences recovered from western Ross Sea, Antarctica by the Cape Roberts (drilling) Project display orbitally-influenced cycles of advance and retreat of a laterally-extensive ice sheet across the continental shelf, in concert with changes in contemporary water-depth. During interglacial periods, when the glacier terminated on land, the coastline was largely ice-free and wave-influenced, and sediments accumulated in hydrodynamic equilibrium with the contemporary wave-climate., Here, we present estimates of paleobathymetry from intervals of three Milankovitch-duration glacimarine sequences (9, 10 and 11) that accumulated in open ocean conditions. We utilise an approach where the percentage of mud (&lt; 63 mu m fraction) in bulk sediment is related to the wave-induced bed shear stress, and for a given wave climate, water depth (e.g. [Dunbar, G,B. and Barrett, P.J., 2005. Estimating palaeobathymetry of wave-graded continental shelves from sediment texture. Sedimentology 52, 253-269.]). Particle size-derived changes in paleobathymetry for the three late Oligocene sequences were between 20-40 and 60-90 in. These water depth changes are consistent with the magnitude of contemporary global eustatic sea-level changes of 30-40 in estimated from far-field continental margin and deep-marine ocean proxy records. On the basis of our bathymetric constraints we contribute to a conceptual stratigraphic model for shallow glacimarine sequences, whose depositional architecture is controlled by a combination glacier advance and retreat and changes in relative sea-level. (C) 2007 Elsevier B.V. All rights reserved.</t>
  </si>
  <si>
    <t>[Dunbar, G. B.; Naish, T. R.; Barrett, P. J.] Victoria Univ Wellington, Antarct Res Ctr, Wellington, New Zealand; [Naish, T. R.] GNS Sci, Lower Hutt, New Zealand; [Fielding, C. R.] Univ Nebraska, Dept Geosci, Lincoln, NE 68588 USA; [Powell, R. D.] No Illinois Univ, Dept Geol &amp; Environm Geosci, De Kalb, IL 60115 USA</t>
  </si>
  <si>
    <t>Victoria University Wellington; GNS Science - New Zealand; University of Nebraska System; University of Nebraska Lincoln; Northern Illinois University</t>
  </si>
  <si>
    <t>Dunbar, GB (corresponding author), Victoria Univ Wellington, Antarct Res Ctr, POB 600, Wellington, New Zealand.</t>
  </si>
  <si>
    <t>gavin.dunbar@vuw.ac.nz</t>
  </si>
  <si>
    <t>Naish, Tim/0000-0002-1185-9932</t>
  </si>
  <si>
    <t>10.1016/j.palaeo.2007.08.018</t>
  </si>
  <si>
    <t>WOS:000255434800005</t>
  </si>
  <si>
    <t>Naish, TR; Wilson, GS; Dunbar, GB; Barrett, PJ</t>
  </si>
  <si>
    <t>Naish, Tim R.; Wilson, Gary S.; Dunbar, Gavin B.; Barrett, Peter J.</t>
  </si>
  <si>
    <t>Constraining the amplitude of Late Oligocene bathymetric changes in western Ross Sea during orbitally-induced oscillations in the East Antarctic Ice Sheet: (2) Implications for global sea-level changes</t>
  </si>
  <si>
    <t>CARBON-DIOXIDE CONCENTRATIONS; VICTORIA LAND BASIN; POLARITY TIME-SCALE; MIOCENE BOUNDARY; SEQUENCE STRATIGRAPHY; OXYGEN ISOTOPES; CLIMATE; GLACIATION; RECORD; CALIBRATION</t>
  </si>
  <si>
    <t>Calibrations of deep-sea delta O-18 ice volume records imply glacial-interglacial (G-I), eustatic sea-level fluctuations of 10-30 m during the Late Oligocene. But it has hitherto not been possible to evaluate these inferred changes from direct evidence for coeval oscillations of sea-level and changes in the volume of the Antarctic ice sheets. Here we utilise a grainsize-derived paleobathymetry curve [Dunbar, G.B., Naish, T.R., Powell, R.P., Barrett, P.J., this volume. Constraining the amplitude of late Oligocene bathymetric changes in western Ross Sea during orbitally-induced oscillations in the East Antarctic Ice Sheet: (1) Implications for cycle stratigraphic models. Palaeogeography, Palaeoclimatology, Palaeoecology], to determine the amplitude of eustatic sea-level fluctuations, from three well-dated, Late Oligocene, shallow glacimarine sedimentary cycles cored by the Cape Roberts project in western Ross Sea. Our approach estimates the eustatic sea-level contribution to the paleobathymetry curve by placing constraints on total subsidence, decompacted sediment accumulation and glacio-isostasy. These sedimentary cycles link the extent of the East Antarctic Ice Sheet, and local paleobathymetry changes directly to orbital cycles, by using a new chronostratigraphy that enables the three sedimentary cycles to be correlated with individual cycles on the new astronomically-tuned delta O-18 timescale. Our new eustatic estimates are consistent with the Late Oligocene delta O-18-to-sea-level calibrations of Pekar et al. [Pekar, S.F., DeConto, R.M., Harwood, D.M., 2006. Resolving a late Oligocene conundrum: Deep-sea warming and Antarctic glaciation. Palaeogeography, Palaeoclimatology and Palaeoecology 231, 29-40], and show that eustatic sea-level fluctuated between 10 m and 40 m, and represented ice volume fluctuations involving 15% to 60% of the present day Antarctic Ice Sheet. Moreover, our eustatic estimates imply a 6180 calibration for the Mi-1 excursion that supports a significant expansion of ice on Antarctica, perhaps equivalent to 120% of the present day EAIS (assuming no northern hemisphere ice), with an attendant fall in global sea-level of similar to 50 m. (C) 2007 Elsevier B.V. All rights reserved.</t>
  </si>
  <si>
    <t>[Naish, Tim R.] GNS Sci, Lower Hutt, New Zealand; [Naish, Tim R.; Dunbar, Gavin B.; Barrett, Peter J.] Victoria Univ Wellington, Antarct Res Ctr, Wellington, New Zealand; [Wilson, Gary S.] Univ Otago, Dept Geol, Dunedin, New Zealand</t>
  </si>
  <si>
    <t>GNS Science - New Zealand; Victoria University Wellington; University of Otago</t>
  </si>
  <si>
    <t>Naish, TR (corresponding author), GNS Sci, POB 30368, Lower Hutt, New Zealand.</t>
  </si>
  <si>
    <t>T.Naish@gns.cri.nz</t>
  </si>
  <si>
    <t>Wilson, Gary S/B-3803-2010</t>
  </si>
  <si>
    <t>Wilson, Gary/0000-0003-0025-3641; Naish, Tim/0000-0002-1185-9932</t>
  </si>
  <si>
    <t>10.1016/j.palaeo.2007.08.021</t>
  </si>
  <si>
    <t>WOS:000255434800006</t>
  </si>
  <si>
    <t>Donda, F; O'Brien, PE; De Santis, L; Rebesco, M; Brancolini, G</t>
  </si>
  <si>
    <t>Donda, F.; O'Brien, P. E.; De Santis, L.; Rebesco, M.; Brancolini, G.</t>
  </si>
  <si>
    <t>Mass wasting processes in the Western Wilkes Land margin: Possible implications for East Antarctic glacial history</t>
  </si>
  <si>
    <t>East Antarctica; multichannel seismic; debris flows; contourites</t>
  </si>
  <si>
    <t>TROUGH-MOUTH FAN; ICE-SHEET; SEDIMENTARY PROCESSES; STOREGGA SLIDE; CONTINENTAL-MARGIN; TRAENADJUPET SLIDE; SLOPE STABILITY; SUBMARINE SLIDE; ODP SITE-1166; PRYDZ BAY</t>
  </si>
  <si>
    <t>Multichannel seismic data collected off Western Wilkes Land (East Antarctica) reveal widespread sediment mass movement events, mainly in the form of mega debris flows deposited on the continental rise. In places, they have a seaward extent of more than 200 km and a thickness of up to 400 in. Debris flow units are commonly separated by thin deposits of well-stratified facies, interpreted as glaciomarine mixed contouritic and distal turbidite deposits, possibly with some hemipelagic sediments. These units, due to a dominant contouritic component, represent weakened layers and could then play a major role in the slope instability. Based on stratigraphic correlation with DSDP Site 268, it is suggested that slope failures in the Western Wilkes Land occurred mostly during the Miocene. Inferred high sedimentation rates, due to large amounts of sediment delivered from a temperate, wet-based ice sheet, would have constituted a key factor in the sediment failures. The distribution of mass wasting-related features appears also strongly related to the amount of meltwater discharge. The main trigger mechanism would probably have been earthquakes, enhanced by isostatic rebounds following major ice sheet retreats. (C) 2007 Elsevier B.V All rights reserved.</t>
  </si>
  <si>
    <t>[Donda, F.; De Santis, L.; Rebesco, M.; Brancolini, G.] Ist Nazl Oceanog &amp; Geofis Sperimentale, I-34010 Trieste, Italy; [O'Brien, P. E.] Geosci Australia, Canberra, ACT 2601, Australia</t>
  </si>
  <si>
    <t>Istituto Nazionale di Oceanografia e di Geofisica Sperimentale; Geoscience Australia</t>
  </si>
  <si>
    <t>Donda, F (corresponding author), Ist Nazl Oceanog &amp; Geofis Sperimentale, Borgo Grotta Gigante 42-C, I-34010 Trieste, Italy.</t>
  </si>
  <si>
    <t>fdonda@ogs.trieste.it</t>
  </si>
  <si>
    <t>Rebesco, Michele/B-7462-2014</t>
  </si>
  <si>
    <t>Rebesco, Michele/0000-0002-9492-4081; Donda, Federica/0000-0002-1284-5866; O'Brien, Philip/0000-0003-3446-3292; De Santis, Laura/0000-0002-7752-7754</t>
  </si>
  <si>
    <t>10.1016/j.palaeo.2007.08.008</t>
  </si>
  <si>
    <t>WOS:000255434800007</t>
  </si>
  <si>
    <t>Cody, RD; Levy, RH; Harwood, DM; Sadler, PM</t>
  </si>
  <si>
    <t>Cody, Rosemary D.; Levy, Richard H.; Harwood, David M.; Sadler, Peter M.</t>
  </si>
  <si>
    <t>Thinking outside the zone: High-resolution quantitative diatom biochronology for the Antarctic Neogene</t>
  </si>
  <si>
    <t>Antarctica; marine diatoms; biostratigraphy; chronostratigraphy; Neogene; quantitative analysis; constrained optimization; CONOP; biochronology; correlation; stratigraphy; biomarkers; biozones; geochronology; micropaleontology</t>
  </si>
  <si>
    <t>ODP LEG-177; BIOSTRATIGRAPHY; SEDIMENTS; PLIOCENE; HISTORY</t>
  </si>
  <si>
    <t>Developing a coherent Neogene history of the Antarctic ice sheet and Southern Ocean requires a high-resolution biostratigraphic age model, one that is applicable to the array of existing onshore and offshore paleoenvironmental records. This study integrates comprehensive diatom biostratigraphy magnetostratigraphy, and tephrostratigraphy from 32 Neogene sections around the Southern Ocean and Antarctic continental margin. Framing their correlation as a Constrained Optimization (CONOP) permits the use of computer implemented approaches that resemble multidimensional versions of graphic correlation. The method establishes the most parsimonious sequence of events subject to an expert's selection of suitable input data, determination of geological feasibility (constraints) and the most appropriate measure of fit to the data (optimization). Quantitative output includes assessments of record quality and confidence intervals on all age assignments. Thorough review and testing of CONOP model settings and input datasets established the solution's sensitivity to these factors and guided the selective removal of unreliable data to produce a robust, precise, and reproducible biochronology. Two complementary models, based on different assumptions about reworking, yield independent estimates of average local ranges and total regional ranges of fossil taxa in the southern high latitudes. The resulting composite sequences include range data of 116 diatom taxa, as well as 52 paleomagnetic reversals and two radiometrically dated ashes, which enable age calibration to within an average of +/- 0.08 m.y. for first and last appearances as old as 18 Ma. Deviations of new model ages from previously published estimates are generally small, and reflect the different sample sizes available for traditional versus new quantitative biostratigraphic calibrations. Our results confirm the reliability and regional isochroneity of most commonly utilized diatom zonal marker events, identify many new potentially useful events, and provide up to an order of magnitude greater temporal resolution than traditional zonations. The anticipated expansion of this new Southern Ocean chronostratigraphic framework to new localities and other microfossil groups will pave the way to further age refinement and broader application of this approach in the future. (C) 2007 Elsevier B.V. All rights reserved.</t>
  </si>
  <si>
    <t>[Cody, Rosemary D.; Levy, Richard H.; Harwood, David M.] Univ Nebraska, Dept Geosci, Lincoln, NE 68588 USA; [Sadler, Peter M.] Univ Calif Riverside, Dept Earth Sci, Riverside, CA 95251 USA</t>
  </si>
  <si>
    <t>University of Nebraska System; University of Nebraska Lincoln; University of California System; University of California Riverside</t>
  </si>
  <si>
    <t>Cody, RD (corresponding author), Univ Nebraska, Dept Geosci, Lincoln, NE 68588 USA.</t>
  </si>
  <si>
    <t>rockyrose@gmail.com</t>
  </si>
  <si>
    <t>Levy, Richard H/E-2477-2011</t>
  </si>
  <si>
    <t>Levy, Richard/0000-0002-8783-0167; Sadler, Peter/0000-0002-7728-0042</t>
  </si>
  <si>
    <t>10.1016/j.palaeo.2007.08.020</t>
  </si>
  <si>
    <t>WOS:000255434800008</t>
  </si>
  <si>
    <t>Smellie, JL; Johnson, JS; McIntosh, WC; Esser, R; Gudmundsson, MT; Harnbrey, MJ; de Vries, BV</t>
  </si>
  <si>
    <t>Smellie, J. L.; Johnson, J. S.; McIntosh, W. C.; Esser, R.; Gudmundsson, M. T.; Harnbrey, M. J.; de Vries, B. van Wyk</t>
  </si>
  <si>
    <t>Six million years of glacial history recorded in volcanic lithofacies of the James Ross Island Volcanic Group, Antarctic Peninsula</t>
  </si>
  <si>
    <t>miocene; pliocene; 40Ar/39Ar; glaciovolcanism; glacial; interglacial; Antarctic Peninsula Ice Sheet</t>
  </si>
  <si>
    <t>LATE CRETACEOUS STRATIGRAPHY; SEA-LEVEL CHANGES; ICE-SHEET; LATE PLEISTOCENE; LATE QUATERNARY; WEDDELL SEA; MIOCENE; REGION; MAXIMUM; SEDIMENTATION</t>
  </si>
  <si>
    <t>Basaltic volcanism in the James Ross Island region has been persistent over the last 6 million years resulting in at least 50 mainly effusive eruptions that are preserved predominantly as lava-fed deltas and a small number of tuff cones. Most of the eruptions took place during glacial periods, and the deltas have enabled the characteristics of the palaeo-glacier cover to be deduced for the first time, for multiple time slices. The resolution of 40Ar/39Ar dating of young basaltic lavas is relatively poor compared with the duration of glacial-interglacial periods and precludes any Milankovitch-scale cyclicity being identified, a problem that is now becoming acute in palaeoenvironmental investigations of this type. Our results indicate that glacial periods were characterised by a relatively thin glacier cover in this area, typically just 200-350 in. They were interspersed with fewer periods of thicker ice c. 600-750 in in thickness. These are likely maximum estimates and they may be too high by a few tens of metres. The glacier cover increased in thickness toward the present. However, as evidenced by 4.6 myr-old surfaces at c. 620 in a.s.l. that are glacially unmodified other than frost shattering, no evidence has been found for a substantially thicker ice sheet at any time during the last 6 myr. The glacier cover was formed predominantly of ice (sensu stricto) that was wet-based and erosive. Thus it had a temperate or, probably more likely, sub-polar (i.e. polythermal) thermal regime and, if the ice reached the continental shelf edge, it must have had a low profile. After an early history (c. 6.2-4.6 Ma) dominated by an areally extensive Antarctic Peninsula Ice Sheet (APIS), the local glacial morphodynamics were determined by a local ice cap that draped James Ross Island and was presumably confluent with the APIS along its western margin. These results are the first evidence for the morphology, thickness and thermal regime of the glacier cover in the northern Antarctic Peninsula region for the late Neogene-Quaternary period. (C) 2008 Elsevier B.V All rights reserved.</t>
  </si>
  <si>
    <t>[Smellie, J. L.; Johnson, J. S.] British Antarctic Survey, Cambridge CB3 0ET, England; [McIntosh, W. C.; Esser, R.] New Mexico Geochronol Res Lab, Socorro, NM USA; [Gudmundsson, M. T.] Univ Iceland, Reykjavik, Iceland; [Harnbrey, M. J.] Univ Wales, Inst Geog &amp; Earth Sci, Aberystwyth, Ceredigion, Wales; [de Vries, B. van Wyk] Univ Blaise Pascal, Clermont Ferrand, France</t>
  </si>
  <si>
    <t>UK Research &amp; Innovation (UKRI); Natural Environment Research Council (NERC); NERC British Antarctic Survey; University of Iceland; Aberystwyth University; Centre National de la Recherche Scientifique (CNRS); Universite Clermont Auvergne (UCA)</t>
  </si>
  <si>
    <t>Smellie, JL (corresponding author), British Antarctic Survey, Cambridge CB3 0ET, England.</t>
  </si>
  <si>
    <t>jlsm@bas.ac.uk</t>
  </si>
  <si>
    <t>Gudmundsson, Magnus Tumi/M-3735-2015</t>
  </si>
  <si>
    <t>Gudmundsson, Magnus Tumi/0000-0001-5325-3368; Johnson, Joanne/0000-0003-4537-4447; Gutierrez Gutierrez, Dania Sofia/0009-0003-0471-7690</t>
  </si>
  <si>
    <t>10.1016/j.palaeo.2007.08.011</t>
  </si>
  <si>
    <t>WOS:000255434800009</t>
  </si>
  <si>
    <t>Rebesco, M; Camerlenghi, A</t>
  </si>
  <si>
    <t>Rebesco, M.; Camerlenghi, A.</t>
  </si>
  <si>
    <t>Late Pliocene margin development and mega debris flow deposits on the Antarctic continental margins: Evidence of the onset of the modem Antarctic Ice Sheet?</t>
  </si>
  <si>
    <t>Late Pliocene; Antarctica; Ice Sheet; seismics; ODP</t>
  </si>
  <si>
    <t>WILKES LAND MARGIN; TROUGH-MOUTH FAN; SEDIMENTARY PROCESSES; GLACIAL HISTORY; WEDDELL SEA; ROSS SEA; MORPHOLOGY; TRANSITION; RECORD; SLIDE</t>
  </si>
  <si>
    <t>Major global climatic changes in the Cenozoic coincided with major changes in volume of polar ice sheets, which are reflected in the sedimentary regime of polar continental margins. We compile and review the most recent evidences of the Neogene architectural change in the sedimentary units of the Antarctic continental margins to provide a comprehensive interpretation of timing and circumstances of the last of these changes. We review and interpret the seismic stratigraphy and the borehole data (where available) from 6 key sectors of East and West Antarctica: the continental margins of the Antarctic Peninsula, Prydz Bay, Wilkes Land, Weddell Sea, Eastern and Western Ross Sea. In these margins we identify the following change in the geometry of the sedimentary deposits: margin-wide erosion and subsequent progradation on the continental shelf, stratal downlap on the continental slope; major mass wasting deposits on the continental rise. The change is apparently synchronous and dated about 3 Ma in the Antarctic Peninsula and Prydz Bay margins and broadly concomitant in the others sectors. This suggests a common driving force, which we suggest to be the late Pliocene climatic change that induced the transition of the Antarctic ice sheet regime from polythermal to present polar cold, dry-based conditions. We infer that in consequence of the late Pliocene global cooling, meltwater decreased in quantity and focussed within the main ice-troughs where large ice streams began to flow. The regional erosion was followed by focussing of the sedimentary transport at the base of the large ice streams and faster progradation of sedimentary wedges at the mouth of the ice-troughs. This induced large failures of the continental slope, while the continental rise was progressively deprived of terrigenous sediments. (C) 2007 Elsevier B.V. All rights reserved.</t>
  </si>
  <si>
    <t>[Rebesco, M.] Ist Nazl Oceanog &amp; Geofis Sperimentale, I-34010 Sgonico, TS, Italy; [Camerlenghi, A.] Univ Barcelona, ICREA, E-08028 Barcelona, Spain; [Camerlenghi, A.] Univ Barcelona, GRC Geociencies Marines, Dept Estratig Paleontol &amp; Geociencies Marines, E-08028 Barcelona, Spain</t>
  </si>
  <si>
    <t>Istituto Nazionale di Oceanografia e di Geofisica Sperimentale; ICREA; University of Barcelona; University of Barcelona</t>
  </si>
  <si>
    <t>Rebesco, M (corresponding author), Ist Nazl Oceanog &amp; Geofis Sperimentale, Borgo Grotta Gigante 42-C, I-34010 Sgonico, TS, Italy.</t>
  </si>
  <si>
    <t>mrebesco@ogs.trieste.it</t>
  </si>
  <si>
    <t>Camerlenghi, Angelo/AAG-3852-2019; Camerlenghi, Angelo/O-1593-2013; Camerlenghi, Angelo/C-8816-2011; Rebesco, Michele/B-7462-2014</t>
  </si>
  <si>
    <t>Camerlenghi, Angelo/0000-0002-8128-9533; Camerlenghi, Angelo/0000-0002-8128-9533; Rebesco, Michele/0000-0002-9492-4081</t>
  </si>
  <si>
    <t>ICREA Funding Source: Custom</t>
  </si>
  <si>
    <t>ICREA(ICREA)</t>
  </si>
  <si>
    <t>10.1016/j.palaeo.2007.08.009</t>
  </si>
  <si>
    <t>WOS:000255434800010</t>
  </si>
  <si>
    <t>Mckay, RM; Barrett, PJ; Harper, MA; Hannah, MJ</t>
  </si>
  <si>
    <t>Mckay, R. M.; Barrett, P. J.; Harper, M. A.; Hannah, M. J.</t>
  </si>
  <si>
    <t>Atmospheric transport and concentration of diatoms in surficial and glacial sediments of the Allan Hills, Transantarctic Mountains</t>
  </si>
  <si>
    <t>Antarctica; Pliocene; diatoms; Sirius Group</t>
  </si>
  <si>
    <t>ANTARCTIC ICE-SHEET; SIRIUS GROUP; DRY VALLEYS; EXPOSURE; CLIMATE; MARINE; ROCKS</t>
  </si>
  <si>
    <t>A global climate up to 3 degrees C warmer than present around 3 Ma is widely accepted, but the response of the Antarctic ice sheets at that time is still debated. The presence of rare Pliocene marine diatoms in the Sirius Group tillites of the Transantarctic Mountains has led some to infer that the warming caused a collapse of the ice sheet, exposing the Antarctic interior to inland seas. Here we document an alternative source for the Sirius Group diatoms through atmospheric transport onto the surface of the East Antarctic Ice Sheet to be carried downslope by katabatic winds flowing over the Allan Hills, one of many nunataks that border the East Antarctic Ice Sheet. Evidence comes from diatom remains recovered in windtraps, surficial sediments and Sirius Group deposits themselves. The abundance and preservation of the diatoms being actively transported and trapped in the Allan Hills far exceeds those observed in the Sirius Group. Melting of wind-blown snow during summer provides a mechanism to transport and concentrate these diatoms into diatom-rich layers. This mechanism, along with the extreme sparseness and sporadic occurrence of diatoms previously documented in the Sirius Group, suggests a more likely scenario in which diatoms from the atmosphere contaminated tillites that had been deposited beneath wet-based glaciers in much older and warmer times. In this scenario, Pliocene marine diatoms may have been injected into the troposphere by meteorite impact, or picked up from exposed land around the Ross Embayment following the disappearance of the Ross Ice Shelf in Pliocene times. We conclude that the Pliocene age assigned to the Sirius Group on the basis of rare diatoms should be regarded as unproven, and the inferred collapse of the East Antarctic Ice Sheet at that time unlikely. (C) 2008 Elsevier B.V. All rights reserved.</t>
  </si>
  <si>
    <t>Victoria Univ Wellington, Antarct Res Ctr, Wellington, New Zealand; Victoria Univ Wellington, Sch Earth Sci, Wellington, New Zealand</t>
  </si>
  <si>
    <t>Victoria University Wellington; Victoria University Wellington</t>
  </si>
  <si>
    <t>Mckay, RM (corresponding author), Victoria Univ Wellington, Antarct Res Ctr, POB 600, Wellington, New Zealand.</t>
  </si>
  <si>
    <t>robert.mckay@vuw.ac.nz</t>
  </si>
  <si>
    <t>McKay, Robert/N-2449-2015; Hannah, Michael/H-1083-2015</t>
  </si>
  <si>
    <t>McKay, Robert/0000-0002-5602-6985; Hannah, Michael/0000-0002-2275-0086</t>
  </si>
  <si>
    <t>10.1016/j.palaeo.2007.08.014</t>
  </si>
  <si>
    <t>WOS:000255434800011</t>
  </si>
  <si>
    <t>Forsberg, CF; Florindo, F; Grützner, J; Venuti, A; Solheim, A</t>
  </si>
  <si>
    <t>Forsberg, C. F.; Florindo, F.; Gruetzner, J.; Venuti, A.; Solheim, A.</t>
  </si>
  <si>
    <t>Sedimentation and aspects of glacial dynamics from physical properties, mineralogy and magnetic properties at ODP Sites 1166 and 1167, Prydz Bay, Antarctica</t>
  </si>
  <si>
    <t>East Antarctica; Prydz Bay; mineralogy; palaeomagnetism; glacial history; provenance</t>
  </si>
  <si>
    <t>TROUGH-MOUTH FAN; EAST-ANTARCTICA; ICE-SHEET; SEA; MARGIN; SHELF; EVOLUTION; CLIMATE; PALEOMAGNETISM; CALIBRATION</t>
  </si>
  <si>
    <t>Trough mouth fans are formed by aggradation of glacial debris flows from sediment deposited by fast flowing ice streams extending to the shelf edge. We here present investigations at two sites, ODP Site 1166 on the shelf and ODP Site 1167 drilled on the Prydz Channel Fan in order to contribute to the understanding of Neogene ice flow patterns in Prydz Bay. The mineralogy, wt.% &gt;63 mu m, physical and magnetic properties were analyzed. The mineralogy of Neogene strata at Site 1166 can be correlated to nearby ODP Site 742 drilled during Leg 119. Moreover an increase in the shear strength of the sediments (Leg 119 load event 3) is found both at Site 1166 and Site 742. This load event probably indicates that the oldest glacial configuration involved thicker glaciers than the later ones. The results from Site 1167 show that there has been a significant change in the provenance of the sediments during the past 2 million years. The greatest change occurred at about 1. 13 Ma and implies a shift in the glacial configuration in Prydz Bay with a greater contribution of material from western parts of the drainage basin during the deposition of Unit II (&gt; 1. 13 Ma; 217-43 5 mbsf) at Site 1167 on the Prydz Channel Fan. (C) 2008 Elsevier B.V. All rights reserved.</t>
  </si>
  <si>
    <t>[Forsberg, C. F.; Solheim, A.] Norwegian Geotech Inst, N-0806 Oslo, Norway; [Florindo, F.; Venuti, A.] Ist Nazl Geofis &amp; Vulcanol, I-00143 Rome, Italy; [Gruetzner, J.] Univ Bremen, D-28334 Bremen, Germany</t>
  </si>
  <si>
    <t>Norwegian Geotechnical Institute, NGI; Istituto Nazionale Geofisica e Vulcanologia (INGV); University of Bremen</t>
  </si>
  <si>
    <t>Forsberg, CF (corresponding author), Norwegian Geotech Inst, POB 3930 Vllevaal Stad, N-0806 Oslo, Norway.</t>
  </si>
  <si>
    <t>carl.frederik.forsberg@ngi.no</t>
  </si>
  <si>
    <t>Florindo, Fabio/M-1459-2019; Florindo, Fabio/AAU-2548-2021; Florindo, Fabio/F-4119-2010</t>
  </si>
  <si>
    <t>Florindo, Fabio/0000-0002-6058-9748; Florindo, Fabio/0000-0002-6058-9748; Gruetzner, Jens/0000-0001-5445-2393; Venuti, Alessandra/0000-0002-0213-3355</t>
  </si>
  <si>
    <t>10.1016/j.palaeo.2007.08.022</t>
  </si>
  <si>
    <t>WOS:000255434800012</t>
  </si>
  <si>
    <t>Crundwell, M; Scott, G; Naish, T; Carter, L</t>
  </si>
  <si>
    <t>Crundwell, Martin; Scott, George; Naish, Tim; Carter, Lionel</t>
  </si>
  <si>
    <t>Glacial-interglacial ocean climate variability from planktonic foraminifera during the Mid-Pleistocene transition in the temperate Southwest Pacific, ODP Site 1123</t>
  </si>
  <si>
    <t>mid-pleistocene transition; ocean climate; glacial; deglacial; interglacial; planktonic foraminifera; Southwest Pacific; Southern hemisphere; climate forcing; tropics; Antarctic</t>
  </si>
  <si>
    <t>SEA-SURFACE TEMPERATURES; EASTERN NEW-ZEALAND; WESTERN-BOUNDARY CURRENT; SOUTHEASTERN NEW-ZEALAND; NORTHERN NEW-ZEALAND; TIME-SERIES ANALYSIS; UNEVENLY SPACED DATA; CHATHAM RISE; ICE-SHEET; DEEP-OCEAN</t>
  </si>
  <si>
    <t>Planktonic foraminiferal assemblages and artificial neural network estimates of sea-surface temperature (SST) at ODP Site 1123 (41 degrees 47.2'S, 171 degrees 29.9'W; 3290 m deep), east of New Zealand, reveal a high-resolution history of glacial-interglacial (G-I) variability at the Subtropical Front (STF) for the last 1.2 million years, including the Mid-Pleistocene climate transition (MPT). Most G-I cycles of similar to 100 kyr duration have short periods of cold glacial and warm deglacial climate centred on glacial terminations, followed by long temperate interglacial periods. During glacial-deglacial transitions, maximum abundances of subantarctic and subtropical taxa coincide with SST minima and maxima, and lead ice volume by up to 8 kyrs. Such relationships reflect the competing influence of subantarctic and subtropical surface inflows during glacial and deglacial periods, respectively, suggesting alternate polar and tropical forcing of southern mid-latitude ocean climate. The lead of SSTs and subtropical inflow over ice volume points to tropical forcing of southern mid-latitude ocean-climate during deglacial warming. This contrasts with the established hypothesis that southern hemisphere ocean climate is driven by the influence of continental glaciations. Based on wholesale changes in subantarctic and subtropical faunas, the last 1.2 million years are subdivided into 4-distinct periods of ocean climate. 1) The pre-MPT (1185-870 ka) has high amplitude 41-kyr fluctuations in SST, superimposed on a general cooling trend and heightened productivity, reflecting long-term strengthening of subantarctic inflow under an invigorated Antarctic Circumpolar Current. 2) The early MPT (870-620 ka) is marked by abrupt warming during MIS 2 1, followed by a period of unstable periodicities within the 40-100 kyr orbital bands, decreasing SST amplitudes, and long intervals of temperate interglacial climate punctuated by short glacial and deglacial phases, reflecting lower meridional temperature gradients. 3) The late MPT (620-435 ka) encompasses an abrupt decrease in the subantarctic inflow during MIS 15, followed by a period of warm equable climate. Poorly defined, low amplitude G-I variations in SSTs during this interval are consistent with a relatively stable STF and evenly balanced subantarctic and subtropical inflows, possibly in response to smaller, less dynamic polar icesheets. 4) The post-MPT (435-0 ka) is marked by a major climatic deterioration during MIS 12, and a return to higher amplitude 100 kyr- frequency SST variations, superimposed on a long term trend towards cooler SSTs and increased mixed-layer productivity as the subantarctic inflow strengthened and polar icesheets expanded. (C) 2007 Elsevier B.V All rights reserved.</t>
  </si>
  <si>
    <t>[Crundwell, Martin; Scott, George; Naish, Tim] GNS Sci, Lower Hutt 5040, New Zealand; [Naish, Tim; Carter, Lionel] Natl Inst Water &amp; Atmosphere, Wellington, New Zealand; [Carter, Lionel] Victoria Univ Wellington, Antarct Res Ctr, Wellington, New Zealand</t>
  </si>
  <si>
    <t>GNS Science - New Zealand; National Institute of Water &amp; Atmospheric Research (NIWA) - New Zealand; Victoria University Wellington</t>
  </si>
  <si>
    <t>Crundwell, M (corresponding author), GNS Sci, POB 30368, Lower Hutt 5040, New Zealand.</t>
  </si>
  <si>
    <t>m.crundwell@gns.cri.nz</t>
  </si>
  <si>
    <t>/0000-0002-2111-6817; Naish, Tim/0000-0002-1185-9932</t>
  </si>
  <si>
    <t>10.1016/j.palaeo.2007.08.023</t>
  </si>
  <si>
    <t>WOS:000255434800013</t>
  </si>
  <si>
    <t>Villa, G; Lupi, C; Cobianchi, M; Florindo, F; Pekar, SF</t>
  </si>
  <si>
    <t>Villa, G.; Lupi, C.; Cobianchi, M.; Florindo, F.; Pekar, S. F.</t>
  </si>
  <si>
    <t>A Pleistocene warming event at 1 Ma in Prydz Bay, East Antarctica: Evidence from ODP site 1165</t>
  </si>
  <si>
    <t>calcareous nannofossils; Pleistocene; Antarctica; palaeoclimate; Prydz Bay; Ocean Drilling Program</t>
  </si>
  <si>
    <t>EARLY-MIDDLE PLEISTOCENE; SOUTHERN-OCEAN; ICE-SHEET; NANNOFOSSIL BIOSTRATIGRAPHY; CALCAREOUS NANNOPLANKTON; CONTINENTAL RISE; QUATERNARY; SEDIMENTATION; WEST; CALIBRATION</t>
  </si>
  <si>
    <t>Bio- and magnetostratigraphic age data and nannofossil assemblage analysis from ODP Site 1165 evidence an anomalous warming event of the surface waters in and around Prydz Bay during the Early Pleistocene, approximately 1 Ma. This results from an increase in the abundance of nannofossils at Site 1165, that occurred at I Ma. Detailed high-resolution sampling permits a new bio-magnetostratigraphic interpretation for ODP Site 1165. A decrease in 6180 values at Sites 1165 and 1167 also occurs at this time, supporting the presence of warming conditions in the Prydz Bay area. A return to colder surface waters, indicated by the absence or rare occurrence of nannofossils in the upper cores from Site 1165, suggests that more stable glacial conditions existed in the Prydz Bay basin, for the last 900 ka. The biogenic carbonate sequence identified at Site 1167 is similar to the carbonate shales recovered from the Cape Roberts Project 1. Both have been dated at about I Ma, supporting the idea that a significant surface waters warming occurred during the Pleistocene. These data and the presence of calcareous nannofossils from locations around the Antarctic continent also suggest that the warming event was not limited to the analysed basin, but it extended around the East Antarctic continent. These new evidence call for a re-evaluation of the notion that the East Antarctic Ice-Sheet has experienced stable conditions similar to today since the late Neogene. (C) 2007 Elsevier B.V All rights reserved.</t>
  </si>
  <si>
    <t>[Villa, G.] Univ Parma, Dipartimento Sci Terra, Parco Area Sci, I-43100 Parma, Italy; [Lupi, C.; Cobianchi, M.] Univ Pavia, Dipartimento Sci Terra, I-27100 Pavia, Italy; [Florindo, F.] Ist Nazl Geofis &amp; Vulcanol, I-00143 Rome, Italy; [Pekar, S. F.] CUNY Queens Coll, Sch Earth &amp; Environm Sci, Flushing, NY 11367 USA; [Pekar, S. F.] Columbia Univ, Lamont Doherty Earth Observ, Palisades, NY 10964 USA</t>
  </si>
  <si>
    <t>University of Parma; University of Pavia; Istituto Nazionale Geofisica e Vulcanologia (INGV); City University of New York (CUNY) System; Queens College NY (CUNY); Columbia University</t>
  </si>
  <si>
    <t>Villa, G (corresponding author), Univ Parma, Dipartimento Sci Terra, Parco Area Sci, 157A, I-43100 Parma, Italy.</t>
  </si>
  <si>
    <t>giuliana.villa@unipr.it</t>
  </si>
  <si>
    <t>Florindo, Fabio/M-1459-2019; Florindo, Fabio/F-4119-2010; Florindo, Fabio/AAU-2548-2021</t>
  </si>
  <si>
    <t>10.1016/j.palaeo.2007.08.017</t>
  </si>
  <si>
    <t>WOS:000255434800014</t>
  </si>
  <si>
    <t>Mckay, RM; Dunbar, GB; Naish, TR; Barrett, PJ; Carter, L; Harper, M</t>
  </si>
  <si>
    <t>Mckay, R. M.; Dunbar, G. B.; Naish, T. R.; Barrett, P. J.; Carter, L.; Harper, M.</t>
  </si>
  <si>
    <t>Retreat history of the Ross Ice Sheet (Shelf) since the Last Glacial Maximum from deep-basin sediment cores around Ross Island</t>
  </si>
  <si>
    <t>Antarctica; Ross Ice Shelf; holocene; Last Glacial Maximum; glacimarine</t>
  </si>
  <si>
    <t>PLEISTOCENE-HOLOCENE RETREAT; SEA-LEVEL RECORD; TRANSANTARCTIC MOUNTAINS; MARINE-SEDIMENTS; WEST ANTARCTICA; GROUNDING-LINE; CLIMATE; STREAMS; TAYLOR; EAST</t>
  </si>
  <si>
    <t>Radiocarbon-dated sediment cores from deep basins beneath the McMurdo Ice Shelf, and seasonally open water north of Ross Island, McMurdo Sound, display a characteristic succession of sedimentary facies that document the retreat of the Ross Ice Sheet at the Last Glacial Maximum to its present ice shelf configuration. The facies succession records a transition from a nearly-grounded ice sheet to open marine environments (north of Ross Island) that comprises in ascending stratigraphic order: (1) slightly consolidated, clast-rich muddy diamict dominated by basement clasts from the Transantarctic Mountains, and interpreted as melt-out from the basal layer debris proximal to a retreating grounding zone; (2) sparsely-fossiliferous (reworked diatom firustules) and non-bioturbated mud lacking lonestones, interpreted as a sub-ice shelf facies; and (3) diatom mud and diatom ooze indicative of open marine conditions with evidence of iceberg rafting. The succession in the open marine Lewis Basin north of Ross Island is similar, though the diamict is much sandier and sedimentation rates 1-2 orders of magnitude higher. We present a radiocarbon chronology from total organic carbon which implies that lift-off of grounded ice in the 900 m-deep marine basins surrounding Ross Island occurred by similar to 10, 100 C-14 years BP. Following lift-off, an ice shelf was maintained to the north of Ross Island until similar to 8900 14C years BR We identify a phase of accelerated retreat at that time between the Drygalski Trough and Ross Island, immediately preceding the timing of Meltwater Pulse 1b. At similar to 8900 C-14 years BP the calving line became pinned to Ross Island, significantly decoupling from the grounding line, and marking the transition from a retreating ice sheet to the development of the present ice shelf. (C) 2008 Elsevier B.V All rights reserved.</t>
  </si>
  <si>
    <t>[Mckay, R. M.; Dunbar, G. B.; Naish, T. R.; Barrett, P. J.; Carter, L.] Victoria Univ Wellington, Antarct Res Ctr, Wellington, New Zealand; [Naish, T. R.] GNS Sci, Lower Hutt, New Zealand; [Barrett, P. J.; Harper, M.] Victoria Univ Wellington, Sch Geog Environm &amp; Earth Sci, Wellington, New Zealand</t>
  </si>
  <si>
    <t>Victoria University Wellington; GNS Science - New Zealand; Victoria University Wellington</t>
  </si>
  <si>
    <t>McKay, Robert/N-2449-2015</t>
  </si>
  <si>
    <t>McKay, Robert/0000-0002-5602-6985; Naish, Tim/0000-0002-1185-9932</t>
  </si>
  <si>
    <t>10.1016/j.palaeo.2007.08.015</t>
  </si>
  <si>
    <t>WOS:000255434800015</t>
  </si>
  <si>
    <t>Damiani, D; Giorgetti, G</t>
  </si>
  <si>
    <t>Damiani, Damiano; Giorgetti, Giovanna</t>
  </si>
  <si>
    <t>Provenance of glacial-marine sediments under the McMurdo/Ross Ice Shelf (Windless Bight, Antarctica): Heavy minerals and geochemical data</t>
  </si>
  <si>
    <t>Antarctica; McMurdo/Ross Ice Shelf; marine sediments; heavy minerals; geochemistry; sediment provenance</t>
  </si>
  <si>
    <t>VICTORIA LAND ANTARCTICA; ROSS SEA; WEDDELL-SEA; CLASTIC SEDIMENTS; META-SEDIMENTARY; TAYLOR VALLEY; GEOLOGY; REGION; MARGIN; WEST</t>
  </si>
  <si>
    <t>Sea floor sediments beneath the McMurdo/Ross Ice Shelf in a 900-m-deep depression behind Ross Island have been cored through access holes at two sites. At Site 1, 31 cm of mud and lesser sand, deposited over the last 22 ka, overlies a 30-cm-thick diamictite of the Last Glacial Maximum. At Site 2, the entire core is mud deposited over the last 12 ka. Analyses of very fine sandsized, heavy minerals and geochemical analyses of the sand and silt fractions have been carried out on samples from both sites to track variations in sediment provenance through the Late Quaternary. The heavy minerals were identified by optical and electron scanning microscope (SEM-EDAX) analysis. Major and trace elements were determined on fused glass discs by X-ray fluorescence (XRF) spectrometry. Heavy mineral assemblages have high concentrations of pyroxenes (titanoaugite, augite, pigeonite, low-Ca augite and enstatite), olivines and glass grains. Amphiboles (Mg-hornblende, actinolite and kearsutite), oxides (titanite and titanomagnetite) and stable minerals (epidote, garnet, and apatite) are present in minor amounts. Olivine, titanoaugite and glass dominate the heavy mineral assemblages both in upper part of core I and in all of core 2. In the diamictite, an increase of augite, pigeonite, low-Ca augite, hornblende and stable minerals are observed. The sediment geochemistry is linked to their mineralogical composition both in the sand and in the silt fractions. K and Rb trends probably represent variations in alkali feldspar and/or mica content. The variation of Si/Al ratio is due to sialic minerals and/or to quartz content variation. Mg, Ca, Ti, Sr are probably comprised in femic minerals. The sets of analyses show that the sediments are a mix of local McMurdo Volcanic Group (MVG) rocks and Transantarctic Mountains (TAM) source rocks to the south and west. The diamicton was a strong TAM provenance, suggesting that the main ice streams drained into the Ross Sea from the West at least prior to 18 ky and later than 25 ky. The overlying mud is dominated by a MVG signal, sediments in the two sampled sites derive from basal melting of the ice sheet which entrapped debris from MVG cropping out to the South of the Ross Embayment. Small quantities of minerals from the TAM can be supplied by marine currents inflowing under the shelf from NW. (C) 2007 Elsevier B.V. All rights reserved.</t>
  </si>
  <si>
    <t>[Damiani, Damiano; Giorgetti, Giovanna] Univ Siena, Dept Earth Sci, I-53100 Siena, Italy; [Damiani, Damiano] Univ Siena, Museo Nazl Antartide, I-53100 Siena, Italy</t>
  </si>
  <si>
    <t>University of Siena; University of Siena</t>
  </si>
  <si>
    <t>Damiani, D (corresponding author), Univ Siena, Dept Earth Sci, Via Laterina 8, I-53100 Siena, Italy.</t>
  </si>
  <si>
    <t>damiani@unisi.it</t>
  </si>
  <si>
    <t>Giorgetti, Giovanna/0000-0001-6233-4485</t>
  </si>
  <si>
    <t>10.1016/j.palaeo.2007.08.010</t>
  </si>
  <si>
    <t>WOS:000255434800016</t>
  </si>
  <si>
    <t>Carter, L; Manighetti, B; Ganssen, G; Northcote, L</t>
  </si>
  <si>
    <t>Carter, Lionel; Manighetti, Barbara; Ganssen, Gerald; Northcote, Lisa</t>
  </si>
  <si>
    <t>Southwest Pacific modulation of abrupt climate change during the Antarctic Cold Reversal - Younger Dryas</t>
  </si>
  <si>
    <t>Antarctic Cold Reversal; Younger Dryas; ocean change; SW Pacific</t>
  </si>
  <si>
    <t>SEA-SURFACE TEMPERATURE; NEW-ZEALAND; SOUTHERN-OCEAN; NORTH-ISLAND; EL-NINO; PLANKTONIC-FORAMINIFERA; BENTHIC FORAMINIFERA; AGE CALIBRATION; POLLEN RECORD; WEST-COAST</t>
  </si>
  <si>
    <t>The giant piston core, MD97-2121 (2314-m water depth), collected north of the Subtropical Front, New Zealand, provides a well-dated, stable isotopic record of subtropical and sub-Antarctic influences on the surface and deep ocean over the last deglaciation, especially during the Antarctic Cold Reversal (ACR; similar to 14.1-12.4 ka) and Younger Dryas (YD; 13.0-11.5 ka). After the Last Glacial Maximum, benthic foraminiferal delta O-18(b) changed in phase with Antarctica - the ACR being represented by a pause in the delta O-18(b) deglacial trend. In contrast, surface waters, as represented by the stable isotopes of 3 planktic foraminifers from 3 different depth zones, and alkenone-based sea surface temperatures, showed no immediate response to the ACR. It was not until the Reversal was at its coldest, starting similar to 13.5 ka that the surface ocean responded. It became less warm, its fertility reduced sharply, and its surface structure changed as shown by the merger of the delta O-18(pl) planktic profiles. Onshore, these changes were accompanied by an expansion of cool climate vegetation, an advancement of alpine glaciers and a likely pause in the post-glacial transgression. These onshore and offshore changes, which continued well into YD time, probably resulted from modification of polar conditions by subtropical influences. The ACR caused cooler temperatures, weakened seasonality and stronger winds. However, its onset and impact were ameliorated by a strengthened inflow of subtropical water, although ACR-driven atmospheric conditions prevailed. By comparison, south of the Subtropical Front, where subtropical influences are weak and water masses have direct links with Antarctica, the surface waters cooled in phase with the ACR. (C) 2008 Elsevier B.V. All rights reserved.</t>
  </si>
  <si>
    <t>[Carter, Lionel; Manighetti, Barbara; Northcote, Lisa] Natl Inst Water &amp; Atmosphere, Wellington, New Zealand; [Carter, Lionel] Victoria Univ Wellington, Antarct Res Ctr, Wellington, New Zealand; [Ganssen, Gerald] Vrije Univ Amsterdam, Amsterdam, Netherlands</t>
  </si>
  <si>
    <t>National Institute of Water &amp; Atmospheric Research (NIWA) - New Zealand; Victoria University Wellington; Vrije Universiteit Amsterdam</t>
  </si>
  <si>
    <t>Carter, L (corresponding author), Natl Inst Water &amp; Atmosphere, Private Bag 14 701, Wellington, New Zealand.</t>
  </si>
  <si>
    <t>lionel.carter@vuw.ac.nz</t>
  </si>
  <si>
    <t>10.1016/j.palaeo.2007.08.013</t>
  </si>
  <si>
    <t>WOS:000255434800017</t>
  </si>
  <si>
    <t>Kirchman, KE; Miller, PL</t>
  </si>
  <si>
    <t>Kirchman, Karen E.; Miller, Penney L.</t>
  </si>
  <si>
    <t>CHED 1119-Photochemical production of hydrogen peroxide in an Antarctic coastal lake water</t>
  </si>
  <si>
    <t>ABSTRACTS OF PAPERS OF THE AMERICAN CHEMICAL SOCIETY</t>
  </si>
  <si>
    <t>235th American-Chemical-Society National Meeting</t>
  </si>
  <si>
    <t>APR 06-10, 2008</t>
  </si>
  <si>
    <t>New Orleans, LA</t>
  </si>
  <si>
    <t>[Miller, Penney L.] Rose Hulman Inst Technol, Dept Chem, Terre Haute, IN 47803 USA</t>
  </si>
  <si>
    <t>Rose Hulman Institute Technology</t>
  </si>
  <si>
    <t>kirchmke@rose-hulman.edu; miller1@rose-hulman.edu</t>
  </si>
  <si>
    <t>0065-7727</t>
  </si>
  <si>
    <t>ABSTR PAP AM CHEM S</t>
  </si>
  <si>
    <t>Abstr. Pap. Am. Chem. Soc.</t>
  </si>
  <si>
    <t>APR 6</t>
  </si>
  <si>
    <t>1119-CHED</t>
  </si>
  <si>
    <t>519OA</t>
  </si>
  <si>
    <t>WOS:000271775103052</t>
  </si>
  <si>
    <t>Diehl, TM; Holt, JW; Blankenship, DD; Young, DA; Jordan, TA; Ferraccioli, F</t>
  </si>
  <si>
    <t>Diehl, Theresa M.; Holt, John W.; Blankenship, Donald D.; Young, Duncan A.; Jordan, Tom A.; Ferraccioli, Fausto</t>
  </si>
  <si>
    <t>First airborne gravity results over the Thwaites Glacier catchment, West Antarctica</t>
  </si>
  <si>
    <t>gravity; aerogeophysics; Antarctica; Thwaites Glacier; Amundsen Sea Embayment</t>
  </si>
  <si>
    <t>ICE-SHEET; SEA; GRAVIMETRY; BENEATH; LAND; RIFT</t>
  </si>
  <si>
    <t>Recent satellite observations of Thwaites Glacier in the Amundsen Sea Embayment, West Antarctica, have shown that the glacier is changing rapidly. The causes of its dynamic behavior are uncertain but are of concern because this glacier has the most negative mass balance of all Antarctic glaciers. To better understand Thwaites Glacier's subglacial setting, we conducted a multi- instrumented aerogeophysical survey of its catchment and present here the first gravity results. We employed a new gravimeter, and it performed well despite extreme conditions and an unusual survey design. The unleveled free- air gravity anomalies have a 2.3 mGal RMS error and a 9 km spatial resolution. Despite slightly higher than standard noise levels, the free- air anomalies correlate well with radar- derived subglacial topography. The new airborne gravity data assist in interpreting radar- identified bedrock features and are an ideal basis for future studies of subglacial geology and its control on the dynamics of Thwaites Glacier.</t>
  </si>
  <si>
    <t>[Diehl, Theresa M.; Holt, John W.; Blankenship, Donald D.; Young, Duncan A.] Univ Texas Austin, Jackson Sch Geosci, Inst Geophys, Austin, TX 78758 USA; [Jordan, Tom A.; Ferraccioli, Fausto] British Antarctic Survey, Cambridge CB3 0ET, England</t>
  </si>
  <si>
    <t>University of Texas System; University of Texas Austin; UK Research &amp; Innovation (UKRI); Natural Environment Research Council (NERC); NERC British Antarctic Survey</t>
  </si>
  <si>
    <t>Diehl, TM (corresponding author), Univ Texas Austin, Jackson Sch Geosci, Inst Geophys, 10100 Burnet Rd,R2200, Austin, TX 78758 USA.</t>
  </si>
  <si>
    <t>theresa@ig.utexas.edu; jack@ig.utexas.edu; blank@ig.utexas.edu; duncan@ig.utexas.edu; tomj@bas.ac.uk; ffe@bas.ac.uk</t>
  </si>
  <si>
    <t>Holt, John W/C-4896-2009; Diehl, Theresa/K-2821-2012; Blankenship, Donald D./G-5935-2010; Young, Duncan/G-6256-2010</t>
  </si>
  <si>
    <t>Diehl, Theresa/0000-0002-3784-435X; Ferraccioli, Fausto/0000-0002-9347-4736; Young, Duncan/0000-0002-6866-8176; Jordan, Tom/0000-0003-2780-1986</t>
  </si>
  <si>
    <t>APR 5</t>
  </si>
  <si>
    <t>Q04011</t>
  </si>
  <si>
    <t>10.1029/2007GC001878</t>
  </si>
  <si>
    <t>284OS</t>
  </si>
  <si>
    <t>WOS:000254716300001</t>
  </si>
  <si>
    <t>Twentieth century Antarctic air temperature and snowfall simulations by IPCC climate models</t>
  </si>
  <si>
    <t>SOUTHERN ANNULAR MODE; CIRCULATION; TRENDS</t>
  </si>
  <si>
    <t>We compare new observationally-based data sets of Antarctic near-surface air temperature and snowfall accumulation with 20th century simulations from global climate models (GCMs) that support the Intergovernmental Panel on Climate Change Fourth Assessment Report. Annual Antarctic snowfall accumulation trends in the GCMs agree with observations during 1960-1999, and the sensitivity of snowfall accumulation to near-surface air temperature fluctuations is approximately the same as observed, about 5% K-1. Thus if Antarctic temperatures rise as projected, snowfall increases may partially offset ice sheet mass loss by mitigating an additional 1 mm y(-1) of global sea level rise by 2100. However, 20th century (1880-1999) annual Antarctic near-surface air temperature trends in the GCMs are about 2.5-to-5 times larger-than-observed, possibly due to the radiative impact of unrealistic increases in water vapor. Resolving the relative contributions of dynamic and radiative forcing on Antarctic temperature variability in GCMs will lead to more robust 21st century projections.</t>
  </si>
  <si>
    <t>[Monaghan, Andrew J.; Bromwich, David H.] Ohio State Univ, Byrd Polar Res Ctr, Polar Meterol Grp, Columbus, OH 43210 USA; [Bromwich, David H.] Ohio State Univ, Dept Geog, Atmospher Sci Program, Columbus, OH 43210 USA; [Schneider, David P.] Natl Ctr Atmospher Res, Climate &amp; Global Dynam Div, Boulder, CO 80307 USA</t>
  </si>
  <si>
    <t>University System of Ohio; Ohio State University; University System of Ohio; Ohio State University; National Center Atmospheric Research (NCAR) - USA</t>
  </si>
  <si>
    <t>Monaghan, AJ (corresponding author), Ohio State Univ, Byrd Polar Res Ctr, Polar Meterol Grp, Columbus, OH 43210 USA.</t>
  </si>
  <si>
    <t>monaghan.11@osu.edu</t>
  </si>
  <si>
    <t>Bromwich, David H/C-9225-2016; Schneider, David/E-2726-2010</t>
  </si>
  <si>
    <t>Schneider, David/0000-0001-5308-1834; Monaghan, Andrew/0000-0002-8170-2359</t>
  </si>
  <si>
    <t>L07502</t>
  </si>
  <si>
    <t>10.1029/2007GL032630</t>
  </si>
  <si>
    <t>284OX</t>
  </si>
  <si>
    <t>WOS:000254716800002</t>
  </si>
  <si>
    <t>Tamura, T; Ohshima, KI; Nihashi, S</t>
  </si>
  <si>
    <t>Tamura, Takeshi; Ohshima, Kay I.; Nihashi, Sohey</t>
  </si>
  <si>
    <t>Mapping of sea ice production for Antarctic coastal polynyas</t>
  </si>
  <si>
    <t>BOTTOM WATER; WEDDELL SEA; ROSS SEA; VARIABILITY; THICKNESS; BUDGET; OCEAN</t>
  </si>
  <si>
    <t>Active sea-ice production in Antarctic coastal polynyas causes dense water formation, finally leading to Antarctic Bottom Water (AABW) formation. This study gives the first mapping of sea ice production in the Antarctic Ocean, based on heat-flux calculation with ice thickness data derived from satellite data. The highest ice production occurs in the Ross Ice Shelf Polynya region. The ice production there decreased by similar to 30% from the 1990s to the 2000s, which can be one candidate for causing the recent freshening of AABW. The Cape Darnley polynya in East Antarctica is found to be the second highest production area, suggesting a possible AABW formation area. According to our estimation, around 10% of Southern Ocean sea ice is produced in the major Antarctic coastal polynyas. The mapping provides surface heat- and salt-flux conditions in the ice-covered region, which have not been well understood.</t>
  </si>
  <si>
    <t>[Tamura, Takeshi; Ohshima, Kay I.; Nihashi, Sohey] Hokkaido Univ, Inst Low Temp Sci, Kita Ku, Sapporo, Hokkaido 0600819, Japan</t>
  </si>
  <si>
    <t>Tamura, T (corresponding author), Hokkaido Univ, Inst Low Temp Sci, Kita Ku, N19W8, Sapporo, Hokkaido 0600819, Japan.</t>
  </si>
  <si>
    <t>tamutake@lowtem.hokudai.ac.jp</t>
  </si>
  <si>
    <t>Grants-in-Aid for Scientific Research [20221001] Funding Source: KAKEN</t>
  </si>
  <si>
    <t>Grants-in-Aid for Scientific Research(Ministry of Education, Culture, Sports, Science and Technology, Japan (MEXT)Japan Society for the Promotion of ScienceGrants-in-Aid for Scientific Research (KAKENHI))</t>
  </si>
  <si>
    <t>L07606</t>
  </si>
  <si>
    <t>10.1029/2007GL032903</t>
  </si>
  <si>
    <t>WOS:000254716800004</t>
  </si>
  <si>
    <t>Sengupta, P; Dasgupta, S; Dutta, NR; Raith, MA</t>
  </si>
  <si>
    <t>Sengupta, Pulak; Dasgupta, Somnath; Dutta, Niloy Ranjan; Raith, Michael A.</t>
  </si>
  <si>
    <t>Petrology across a calcareous rock-anortho site interface from the Chilka Lake Complex, Orissa: Implications for Neo-Proterozoic crustal evolution of the northern Eastern Ghats Belt</t>
  </si>
  <si>
    <t>PRECAMBRIAN RESEARCH</t>
  </si>
  <si>
    <t>Eastern Ghats; proterozoic anorthosite; UHT contact metamorphism; Pan-African high-grade reworking</t>
  </si>
  <si>
    <t>CALC-SILICATE GRANULITES; HIGH-TEMPERATURE METAMORPHISM; GARNET-ORTHO-PYROXENE; U-PB; FLUID HISTORIES; RAUER-GROUP; MG; FE; WOLLASTONITE; SCAPOLITE</t>
  </si>
  <si>
    <t>Mineral assemblages, reaction textures and consideration of deduced mineral reactions in appropriate petrogenetic grids in calc-silicate rocks occurring at the contact of the 0.79 Ga Chilka Lake anorthosite pluton, northeastern part of the Eastern Ghats Belt, India, reveal UHT-metamorphism (T&gt;1000 degrees C) at mid-crustal depths (corresponding to 7 +/- 1 kbar). This 0.79 Ga thermal metamorphism completely erased imprints of an earlier (0.96 Ga) granulite facies metamorphism in the calc-silicate rocks. The anorthosite and UHT contact metamorphic rocks were overprinted by amphibolite-granulite facies tectonothermal re-working at 0.69-0.66 Ga. Both the anorthosite-induced UHT metamorphism and the high-grade Pan-African re-working are unique for the Eastern Ghats Belt. These new observations provide clues regarding integration and disintegration of Rodinia and Indo-Antarctic correlation in the Precambrian. (C) 2007 Elsevier B.V. All rights reserved.</t>
  </si>
  <si>
    <t>[Sengupta, Pulak; Dasgupta, Somnath; Dutta, Niloy Ranjan] Jadavpur Univ, Dept Geol Sci, Kolkata 700032, India; [Raith, Michael A.] Univ Bonn, Mineral Petrol Inst, D-53115 Bonn, Germany</t>
  </si>
  <si>
    <t>Jadavpur University; University of Bonn</t>
  </si>
  <si>
    <t>Sengupta, P (corresponding author), Jadavpur Univ, Dept Geol Sci, Kolkata 700032, India.</t>
  </si>
  <si>
    <t>pulaksg@vsnl.com</t>
  </si>
  <si>
    <t>Sengupta, Pinaki/AFS-0906-2022</t>
  </si>
  <si>
    <t>Sengupta, Pinaki/0000-0002-6914-7057</t>
  </si>
  <si>
    <t>0301-9268</t>
  </si>
  <si>
    <t>1872-7433</t>
  </si>
  <si>
    <t>PRECAMBRIAN RES</t>
  </si>
  <si>
    <t>Precambrian Res.</t>
  </si>
  <si>
    <t>10.1016/j.precamres.2007.07.017</t>
  </si>
  <si>
    <t>283XY</t>
  </si>
  <si>
    <t>WOS:000254671000004</t>
  </si>
  <si>
    <t>Crook, JA; Gillett, NP; Keeley, SPE</t>
  </si>
  <si>
    <t>Crook, Julia A.; Gillett, Nathan P.; Keeley, Sarah P. E.</t>
  </si>
  <si>
    <t>Sensitivity of Southern Hemisphere climate to zonal asymmetry in ozone</t>
  </si>
  <si>
    <t>TRENDS; MODEL</t>
  </si>
  <si>
    <t>Climate model simulations of past and future climate invariably contain prescribed zonal mean stratospheric ozone. While the effects of zonal asymmetry in ozone have been examined in the Northern Hemisphere, much greater zonal asymmetry occurs in the Southern Hemisphere during the break up of the Antarctic ozone hole. We prescribe a realistic three-dimensional distribution of ozone in a high vertical resolution atmospheric model and compare results with a simulation containing zonal mean ozone. Prescribing the three dimensional ozone distribution results in a cooling of the stratosphere and upper troposphere comparable to that caused by ozone depletion itself. Our results suggest that changes in the zonal asymmetry of ozone have had important impacts on Southern Hemisphere climate, and will continue to do so in the future.</t>
  </si>
  <si>
    <t>[Crook, Julia A.; Gillett, Nathan P.; Keeley, Sarah P. E.] Univ E Anglia, Sch Environm Sci, Climat Res Unit, Norwich NR4 7TJ, Norfolk, England; [Keeley, Sarah P. E.] Univ Reading, Dept Meteorol, Reading, Berks, England</t>
  </si>
  <si>
    <t>University of East Anglia; University of Reading</t>
  </si>
  <si>
    <t>Crook, JA (corresponding author), Univ E Anglia, Sch Environm Sci, Climat Res Unit, Norwich NR4 7TJ, Norfolk, England.</t>
  </si>
  <si>
    <t>j.crook@see.leeds.ac.uk</t>
  </si>
  <si>
    <t>Keeley, Sarah P E/G-3352-2016</t>
  </si>
  <si>
    <t>Keeley, Sarah P E/0000-0002-8046-765X; Crook, Julia/0000-0003-1724-1479</t>
  </si>
  <si>
    <t>Natural Environment Research Council [ncas10009, NE/D000440/1] Funding Source: researchfish; NERC [NE/D000440/1] Funding Source: UKRI</t>
  </si>
  <si>
    <t>APR 3</t>
  </si>
  <si>
    <t>L07806</t>
  </si>
  <si>
    <t>10.1029/2007GL032698</t>
  </si>
  <si>
    <t>284OV</t>
  </si>
  <si>
    <t>WOS:000254716600002</t>
  </si>
  <si>
    <t>Lambert, F; Delmonte, B; Petit, JR; Bigler, M; Kaufmann, PR; Hutterli, MA; Stocker, TF; Ruth, U; Steffensen, JP; Maggi, V</t>
  </si>
  <si>
    <t>Lambert, F.; Delmonte, B.; Petit, J. R.; Bigler, M.; Kaufmann, P. R.; Hutterli, M. A.; Stocker, T. F.; Ruth, U.; Steffensen, J. P.; Maggi, V.</t>
  </si>
  <si>
    <t>Dust-climate couplings over the past 800,000 years from the EPICA Dome C ice core</t>
  </si>
  <si>
    <t>LAST GLACIAL MAXIMUM; EAST ANTARCTICA; SOUTHERN-OCEAN; PRODUCTIVITY; TRANSPORT; RECORD; RECONSTRUCTION; TEMPERATURE; CYCLE</t>
  </si>
  <si>
    <t>Dust can affect the radiative balance of the atmosphere by absorbing or reflecting incoming solar radiation(1); it can also be a source of micronutrients, such as iron, to the ocean(2). It has been suggested that production, transport and deposition of dust is influenced by climatic changes on glacial-interglacial timescales(3-6). Here we present a high- resolution record of aeolian dust from the EPICA Dome C ice core in East Antarctica, which provides an undisturbed climate sequence over the past eight climatic cycles(7,8). We find that there is a significant correlation between dust flux and temperature records during glacial periods that is absent during interglacial periods. Our data suggest that dust flux is increasingly correlated with Antarctic temperature as the climate becomes colder. We interpret this as progressive coupling of the climates of Antarctic and lower latitudes. Limited changes in glacial-interglacial atmospheric transport time(4,9,10) suggest that the sources and lifetime of dust are the main factors controlling the high glacial dust input. We propose that the observed similar to 25-fold increase in glacial dust flux over all eight glacial periods can be attributed to a strengthening of South American dust sources, together with a longer lifetime for atmospheric dust particles in the upper troposphere resulting from a reduced hydrological cycle during the ice ages.</t>
  </si>
  <si>
    <t>[Petit, J. R.] Univ Grenoble 1, CNRS, Lab Glaciol &amp; Geophys Environm, F-38402 St Martin Dheres, France; [Lambert, F.; Bigler, M.; Kaufmann, P. R.; Stocker, T. F.] Univ Bern, Inst Phys, CH-3012 Bern, Switzerland; [Lambert, F.; Kaufmann, P. R.; Stocker, T. F.] Univ Bern, Oeschger Ctr Climate Change Res, CH-3012 Bern, Switzerland; [Delmonte, B.; Maggi, V.] Univ Milano Bicocca, Dept Environm Sci, I-20126 Milan, Italy; [Bigler, M.; Steffensen, J. P.] Univ Copenhagen, Niels Bohr Inst, Ctr Ice &amp; Climate, DK-2100 Copenhagen OE, Denmark; [Hutterli, M. A.] British Antarctic Survey, Cambridge CB3 0ET, England; [Ruth, U.] Alfred Wegener Inst Polar &amp; Marine Res, D-27568 Bremerhaven, Germany</t>
  </si>
  <si>
    <t>Centre National de la Recherche Scientifique (CNRS); Communaute Universite Grenoble Alpes; Universite Grenoble Alpes (UGA); University of Bern; University of Bern; University of Milano-Bicocca; University of Copenhagen; Niels Bohr Institute; UK Research &amp; Innovation (UKRI); Natural Environment Research Council (NERC); NERC British Antarctic Survey; Helmholtz Association; Alfred Wegener Institute, Helmholtz Centre for Polar &amp; Marine Research</t>
  </si>
  <si>
    <t>Petit, JR (corresponding author), Univ Grenoble 1, CNRS, Lab Glaciol &amp; Geophys Environm, BP96, F-38402 St Martin Dheres, France.</t>
  </si>
  <si>
    <t>petit@lgge.obs.ujf-grenoble.fr</t>
  </si>
  <si>
    <t>Steffensen, Jorgen Peder/JFS-7831-2023; Stocker, Thomas F/B-1273-2013; Bishnoi, Mamta/AAQ-8346-2021; Delmonte, Barbara/L-2555-2015; Bigler, Matthias/HTT-3872-2023; Maggi, Valter/AAX-5728-2020; Lambert, Fabrice/M-2003-2014; Maggi, Valter/E-1878-2014</t>
  </si>
  <si>
    <t>Steffensen, Jorgen Peder/0000-0002-5516-1093; Bishnoi, Mamta/0000-0003-4987-0536; Delmonte, Barbara/0000-0002-9074-2061; Bigler, Matthias/0000-0003-0184-4013; Maggi, Valter/0000-0001-6287-1213; Lambert, Fabrice/0000-0002-2192-024X;</t>
  </si>
  <si>
    <t>10.1038/nature06763</t>
  </si>
  <si>
    <t>282KR</t>
  </si>
  <si>
    <t>WOS:000254567200042</t>
  </si>
  <si>
    <t>Rosenheim, BE; Day, MB; Domack, E; Schrum, H; Benthien, A; Hayes, JM</t>
  </si>
  <si>
    <t>Rosenheim, Brad E.; Day, Mary Beth; Domack, Eugene; Schrum, Heather; Benthien, Albert; Hayes, John M.</t>
  </si>
  <si>
    <t>Antarctic sediment chronology by programmed-temperature pyrolysis: Methodology and data treatment</t>
  </si>
  <si>
    <t>Antarctica; sediment chronology; radiocarbon; pyrolysis; sedimentary organic material; carbon isotopes</t>
  </si>
  <si>
    <t>ROSS-SEA; MARINE-SEDIMENTS; ICE-SHEET; C-14; SYSTEM; RETREAT; BASIN</t>
  </si>
  <si>
    <t>We report a detailed programmed-temperature pyrolysis/ combustion methodology for radiocarbon (C-14) dating of Antarctic sub-ice shelf sediments. The method targets the autochthonous organic component in sediments that contain a distribution of acid-insoluble organic components from several sources of different ages. The approach has improved sediment chronology in organic-rich sediments proximal to Antarctic ice shelves by yielding maximum age constraints significantly younger than bulk radiocarbon dates from the same sediment horizons. The method proves adequate in determining isotope ratios of the pre-aged carbon end-member; however, the isotopic compositions of the low-temperature measurements indicate that no samples completely avoided mixing with some proportion of pre-aged organic material. Dating the unresolved but desired young end-member must rely on indirect methods, but a simple mixing model cannot be developed without knowledge of the sedimentation rate or comparable constraints. A mathematical approach allowing for multiple mixing components yields a maximum likelihood age, a first-order approximation of the relative proportion of the autochthonous component, and the temperature at which allochthonous carbon begins to volatilize and mix with the autochthonous component. It is likely that our estimation of the cutoff temperature will be improved with knowledge of the pyrolysis kinetics of the major components. Chronology is improved relative to bulk acid-insoluble organic material ages from nine temperature interval dates down to two, but incorporation of inherently more pre-aged carbon in the first division becomes more apparent with fewer and larger temperature intervals.</t>
  </si>
  <si>
    <t>[Rosenheim, Brad E.; Benthien, Albert; Hayes, John M.] Woods Hole Oceanog Inst, Natl Ocean Sci Accelerator Mas Spectrometer Facil, Woods Hole, MA 02543 USA; [Day, Mary Beth] Hamilton Coll, Dept Geosci, New York, NY USA; [Domack, Eugene; Schrum, Heather] Hamilton Coll, Dept Geosci, Clinton, NY 13323 USA</t>
  </si>
  <si>
    <t>Woods Hole Oceanographic Institution; Hamilton College; Hamilton College</t>
  </si>
  <si>
    <t>Rosenheim, BE (corresponding author), Tulane Univ, Dept Earth &amp; Environm Sci, New Orleans, LA 70118 USA.</t>
  </si>
  <si>
    <t>brosenhe@tulane.edu</t>
  </si>
  <si>
    <t>Rosenheim, Brad/F-6349-2012</t>
  </si>
  <si>
    <t>Rosenheim, Brad/0000-0001-6141-4651; Benthien, Albert/0000-0002-9159-3109</t>
  </si>
  <si>
    <t>APR 2</t>
  </si>
  <si>
    <t>Q04005</t>
  </si>
  <si>
    <t>10.1029/2007GC001816</t>
  </si>
  <si>
    <t>284ON</t>
  </si>
  <si>
    <t>WOS:000254715800003</t>
  </si>
  <si>
    <t>Golemansky, V</t>
  </si>
  <si>
    <t>Golemansky, Vassil</t>
  </si>
  <si>
    <t>Diversity and prevalence of the coccidians (Apicomplexa: Eucoccidia) of Gentoo penguins (Pygoscelis papua FORSTER, 1781) from King George Island (South Shetland Archipelago, the Antarctic)</t>
  </si>
  <si>
    <t>ACTA ZOOLOGICA BULGARICA</t>
  </si>
  <si>
    <t>Antarctic; King George Island; Gentoo penguins (Pygoscelis papua); Eucoccidia; prevalence</t>
  </si>
  <si>
    <t>EUDYPTULA-MINOR</t>
  </si>
  <si>
    <t>Three species of Eucoccidia were established in 38 studied Gentoo penguins (Pygoscelis papua FORSTER, 178 1) from King George Island, the Antarctic: Eimeria pygosceli GOLEMANSKY, 2003, Eimeria sp. and Isospora sp. Data on the morphology, microphotographs of their oocysts and prevalence of invasion with the observed coccidians are given. The total prevalence of the studied 38 birds with coccidians is 60.5%. The most frequent parasite is Isospora sp. (prevalence 39.5%), followed by E. pygosceli (26.3%) and Eimeria sp. (18.4%). In 4 of the studied birds a high abundance of oocysts of Isospora sp. and E. pygosceli was observed. The author supposes that the coccidiosis is probably one of the limiting factors on the population abundance of Gentoo penguins from the South Shetland Archipelago.</t>
  </si>
  <si>
    <t>Bulgarian Acad Sci, Inst Zool, Sofia 1000, Bulgaria</t>
  </si>
  <si>
    <t>Bulgarian Academy of Sciences</t>
  </si>
  <si>
    <t>Golemansky, V (corresponding author), Bulgarian Acad Sci, Inst Zool, 1 Tsar Osvoboditel Blvd, Sofia 1000, Bulgaria.</t>
  </si>
  <si>
    <t>golemansky@zoology.bas.bg</t>
  </si>
  <si>
    <t>INST ZOOLOGY, BULGARIAN ACAD SCIENCES</t>
  </si>
  <si>
    <t>SOFIA</t>
  </si>
  <si>
    <t>1 TSAR OSVOBODITEL BLVD., SOFIA, 00000, BULGARIA</t>
  </si>
  <si>
    <t>0324-0770</t>
  </si>
  <si>
    <t>ACTA ZOOL BULGAR</t>
  </si>
  <si>
    <t>Acta Zool. Bulg.</t>
  </si>
  <si>
    <t>APR</t>
  </si>
  <si>
    <t>312JH</t>
  </si>
  <si>
    <t>WOS:000256665400007</t>
  </si>
  <si>
    <t>Mulaudzi, TW; Hofmeyr, GJG; Bester, MN; Kirkman, SP; Pistorius, PA; Jonker, FC; Makhado, AB; Owen, JH; Grimbeek, RJ</t>
  </si>
  <si>
    <t>Mulaudzi, T. W.; Hofmeyr, G. J. G.; Bester, M. N.; Kirkman, S. P.; Pistorius, P. A.; Jonker, F. C.; Makhado, A. B.; Owen, J. H.; Grimbeek, R. J.</t>
  </si>
  <si>
    <t>Haulout site selection by southern elephant seals at Marion Island</t>
  </si>
  <si>
    <t>AFRICAN ZOOLOGY</t>
  </si>
  <si>
    <t>southern elephant seal; Mirounga leonina; Marion Island; age group; haulout; site selection</t>
  </si>
  <si>
    <t>MIROUNGA-LEONINA; WINTER HAULOUT; HARASSMENT; KERGUELEN; AGE</t>
  </si>
  <si>
    <t>Using data from an ongoing mark-resight programme at Marion Island, we tested empirically whether southern elephant seals prefer certain terrestrial sites to others during the breeding, moulting and winter haulouts, and whether the pattern of site use is the same for different age and sex groups. Southern elephant seals preferred some sites, while discriminating against other sites, with different age and sex classes using different sites for certain haulout events. Wintering young animals did not show strong site selection. Some popular sites were used for all haulouts by all age and sex groups, and apparently have all the requirements of a good site for terrestrial haulout by southern elephant seals. Site selection becomes more apparent with age, suggesting the role of haulout experience in site selection.</t>
  </si>
  <si>
    <t>[Mulaudzi, T. W.] Univ Pretoria, Mammal Res Inst, Dept Zool &amp; Entomol, ZA-0002 Pretoria, South Africa; [Mulaudzi, T. W.; Hofmeyr, G. J. G.; Bester, M. N.; Kirkman, S. P.; Pistorius, P. A.; Jonker, F. C.; Makhado, A. B.] Natl Zool Gardens S Africa, ZA-0002 Pretoria, South Africa; [Owen, J. H.; Grimbeek, R. J.] Univ Pretoria, Dept Stat, ZA-0002 Pretoria, South Africa</t>
  </si>
  <si>
    <t>University of Pretoria; National Research Foundation - South Africa; National Zoological Gardens of South Africa; University of Pretoria</t>
  </si>
  <si>
    <t>Mulaudzi, TW (corresponding author), Univ Pretoria, Mammal Res Inst, Dept Zool &amp; Entomol, ZA-0002 Pretoria, South Africa.</t>
  </si>
  <si>
    <t>tambu@zoo.ac.za</t>
  </si>
  <si>
    <t>Bester, Marthán N/E-5387-2010; Hofmeyr, G. J. Greg/AAV-3286-2020; Kirkman, Stephen/AAA-9139-2021</t>
  </si>
  <si>
    <t>Hofmeyr, G. J. Greg/0000-0003-0283-6058; Kirkman, Stephen/0000-0001-5428-7375; Pistorius, Pierre/0000-0001-6561-7069</t>
  </si>
  <si>
    <t>National Research Foundation (NRF); Lutheran Scholarship Fund (LSF)</t>
  </si>
  <si>
    <t>We thank the Department of Environmental Affairs and Tourism (DEAT) for providing logistical support for this work, on the advice of the South African Committee for Antarctic Research (SACAR). This material is also based upon work supported by the National Research Foundation (NRF). Any opinion, findings and conclusions or recommendations expressed in this material are those of the authors and therefore the NRF does not accept any liability in regard thereto. The Lutheran Scholarship Fund (LSF) provided I Student bursary while DEAT provided salaries and logistic support during the Study period. Craig Saunders, Steve Atkinson, Anton Hunt, Peter Bartlett, Ian Wilkinson, Charlie Pascoe, Jaco Swart, Rory Heather-Clark, Sampie Ferreira, Andre la Cock, Hendrik Pansegrouw, Francois Roux, Johan Fourie, Johannes de Lange, Johannes Klopper, Derrick Shingwenvana, Mike de Maine, Tendamudzimu Mathagu, and Bianca Harck were responsible when we were not in the field. The Marion 58 expedition, especially Samantha Petersen and Wilna Wilkinson, are thanked for support and help with fieldwork.</t>
  </si>
  <si>
    <t>ZOOLOGICAL SOC SOUTHERN AFRICA</t>
  </si>
  <si>
    <t>SCOTTSVILLE</t>
  </si>
  <si>
    <t>AFRICAN ZOOLOGY CIRCULATION OFFICE, UNIV KWAZULU-NATAL, SCHOOL BIOL &amp; CONSERVATION SCI, P B X01, SCOTTSVILLE 3209, SOUTH AFRICA</t>
  </si>
  <si>
    <t>1562-7020</t>
  </si>
  <si>
    <t>2224-073X</t>
  </si>
  <si>
    <t>AFR ZOOL</t>
  </si>
  <si>
    <t>Afr. Zool.</t>
  </si>
  <si>
    <t>10.3377/1562-7020(2008)43[25:HSSBSE]2.0.CO;2</t>
  </si>
  <si>
    <t>367QH</t>
  </si>
  <si>
    <t>WOS:000260566800004</t>
  </si>
  <si>
    <t>Pistorius, PA; Taylor, FE; Bester, MN; Hofmeyr, GJG; Kirkman, SP</t>
  </si>
  <si>
    <t>Pistorius, P. A.; Taylor, F. E.; Bester, M. N.; Hofmeyr, G. J. G.; Kirkman, S. P.</t>
  </si>
  <si>
    <t>Evidence for density dependent population regulation in southern elephant seals in the southern Indian Ocean</t>
  </si>
  <si>
    <t>density dependence; southern elephant seals; Marion Island; population regulation</t>
  </si>
  <si>
    <t>AFRICAN UNGULATE POPULATIONS; MIROUNGA-LEONINA; MARION-ISLAND; DECLINING POPULATION; MARKED ANIMALS; SURVIVAL; AGE; KERGUELEN; DISPERSION; CROZET</t>
  </si>
  <si>
    <t>The means by which populations are regulated form a central theme in conservation biology, and much debate has revolved around density dependence as a mechanism driving population change. Marion Island (46 degrees 54'S, 37 degrees 45'E) is host to a relatively small breeding population of southern elephant seals, which like its counterparts in the southern Indian and southern Pacific Oceans, have declined precipitously over the past few decades. An intensive mark-recapture study, which commenced in 1983, has yielded a long time-series of resight data on this population. We used the program MARK to estimate adult female survival in this population from resight data collected over the period 1986-1999. Including concurrent population counts as covariates significantly improved our mark-recapture models and suggests density dependent population regulation to be operational in the population. Although predation may have been involved, it is far more likely that density dependent regulation has been based on a limited food supply. A significant increase in adult female survival was evident which is likely to have given rise to recent changes in population growth.</t>
  </si>
  <si>
    <t>[Pistorius, P. A.; Taylor, F. E.; Bester, M. N.; Hofmeyr, G. J. G.; Kirkman, S. P.] Univ Pretoria, Mammal Res Inst, Dept Zool &amp; Entomol, ZA-0002 Pretoria, South Africa</t>
  </si>
  <si>
    <t>Hofmeyr, G. J. Greg/AAV-3286-2020; Kirkman, Stephen/AAA-9139-2021; Bester, Marthán N/E-5387-2010</t>
  </si>
  <si>
    <t>Department of Environmental Affairs and Tourism; National Research Foundation</t>
  </si>
  <si>
    <t>The Department of Environmental Affairs and Tourism provided financial and logistical support for research at Marion Island on the advice of the South African Scientific Committee for Antarctic Research (SASCAR) and SACAR, respectively. The first author benefited from a National Research Foundation Grant-holder linked post-doctoral bursary within the project 'Conservation of Seabirds, Shorebirds and Seals' that funds a consortiurn of researchers led by L. Underhill of the Avian Demography Unit, Department of Statistical Sciences, University of Cape Town.</t>
  </si>
  <si>
    <t>10.3377/1562-7020(2008)43[75:EFDDPR]2.0.CO;2</t>
  </si>
  <si>
    <t>WOS:000260566800010</t>
  </si>
  <si>
    <t>Wang, YB; Liu, DY; Chung, SL; Tong, LX; Ren, LD</t>
  </si>
  <si>
    <t>Wang, Yanbin; Liu, Dunyi; Chung, Sun-lin; Tong, Laixi; Ren, Liudong</t>
  </si>
  <si>
    <t>SHRIMP zircon age constraints from the Larsmann Hills region, Prydz Bay, for a late Mesoproterozoic to early Neoproterozoic tectono-thermal event in East Antarctica</t>
  </si>
  <si>
    <t>AMERICAN JOURNAL OF SCIENCE</t>
  </si>
  <si>
    <t>GRANULITE-FACIES METAMORPHISM; PRINCE-CHARLES MOUNTAINS; LARSEMANN-HILLS; U-PB; PROTEROZOIC TECTONICS; BRATTSTRAND BLUFFS; EXHUMATION; GONDWANA; RODINIA; EVOLUTION</t>
  </si>
  <si>
    <t>This paper reports a geochronological study of granulite-facies rocks from the Larsemann Hills of Prydz Bay, East Antarctica. SHRIMP zircon ages were obtained for a total of 14 samples that cover various rock types including felsic gneiss, mafic gneiss, paragneiss, enderbite, granitic gneiss and leucogneiss. These age results, combined with zircon geochemical data and cathodoluminescence images, enable us to explore the morphological complexity in zircons that record polytectonic events. Features of multiple age zoning, for example, were observed in zircon separates from three felsic gneiss samples studied, which contain magmatic cores of ca. 1.13 Ga and metamorphic mantles and rims of ca. 1.0 and 0.53 Ga, respectively. This suggests a period of magmatism and crust formation in the late Mesoproterozoic and two subsequent phases of high-grade metamorphism during the early Neoproterozoic and early Paleozoic, respectively. Similar phenomena of zircon overgrowth were also observed in other rock types. Although early Paleozoic tectonic activity has been considered as most significant in Antarctic crustal evolution, our study provides the first convincing age evidence for the existence of a Prydz Bay late Mesoproterozoic mobile belt. The ca. 1.0 Ga metamorphic record preserved in diverse rocks from the study area furthermore supports the proposal of a continuous circum East Antarctica late Mesoproterozoic (Grenville-age) orogenic belt. Within this framework, the Prydz Bay orogen is proposed to have been located in the central part of the Rodinia assembly that brought the Eastern Ghats of India together with Antarctica at ca. 1.0 Ga.</t>
  </si>
  <si>
    <t>[Wang, Yanbin; Liu, Dunyi; Ren, Liudong] Chinese Acad Geol Sci, Inst Geol, Beijing SHRIMP Ctr, Beijing 100037, Peoples R China; [Chung, Sun-lin] Natl Taiwan Univ, Dept Geosci, Taipei 10699, Taiwan; [Tong, Laixi] Acad Sinica, Inst Earth Sci, Taipei 115, Taiwan</t>
  </si>
  <si>
    <t>China Geological Survey; Chinese Academy of Geological Sciences; Institute of Geology, Chinese Academy of Geological Sciences; National Taiwan University; Academia Sinica - Taiwan</t>
  </si>
  <si>
    <t>Wang, YB (corresponding author), Chinese Acad Geol Sci, Inst Geol, Beijing SHRIMP Ctr, 26 Baiwan Zhuang Rd, Beijing 100037, Peoples R China.</t>
  </si>
  <si>
    <t>wangyanbin@bjshrimp.cn</t>
  </si>
  <si>
    <t>Chung, Sun-Lin/F-5559-2010; Zhang, Xiaoxi/KBP-8753-2024; Chung, Sun-Lin/F-9574-2015</t>
  </si>
  <si>
    <t>Chung, Sun-Lin/0000-0002-5362-4496;</t>
  </si>
  <si>
    <t>AMER JOURNAL SCIENCE</t>
  </si>
  <si>
    <t>NEW HAVEN</t>
  </si>
  <si>
    <t>YALE UNIV, PO BOX 208109, NEW HAVEN, CT 06520-8109 USA</t>
  </si>
  <si>
    <t>0002-9599</t>
  </si>
  <si>
    <t>1945-452X</t>
  </si>
  <si>
    <t>AM J SCI</t>
  </si>
  <si>
    <t>Am. J. Sci.</t>
  </si>
  <si>
    <t>10.2475/04.2008.07</t>
  </si>
  <si>
    <t>333DH</t>
  </si>
  <si>
    <t>WOS:000258131900007</t>
  </si>
  <si>
    <t>Staniland, IJ; Robinson, SL</t>
  </si>
  <si>
    <t>Staniland, Iain J.; Robinson, Sarah L.</t>
  </si>
  <si>
    <t>Segregation between the sexes:: Antarctic fur seals, Arctocephalus gazella, foraging at South Georgia</t>
  </si>
  <si>
    <t>ANIMAL BEHAVIOUR</t>
  </si>
  <si>
    <t>Antarctic fur seal; Arctocephalus gazella; diving; foraging; niche width; resource partitioning; sexual dimorphism; sexual segregation</t>
  </si>
  <si>
    <t>DIVING BEHAVIOR; BODY-SIZE; ELEPHANT SEALS; EXPENDITURE; DIMORPHISM; RESPONSES; ECOLOGY; DIET</t>
  </si>
  <si>
    <t>Antarctic fur seals show extreme sexual size dimorphism and their breeding strategies place very different constraints on the behaviour of males and females. Whereas the foraging behaviour of lactating females is well studied, very little is known about males. We tracked 14 adult males during a period when they are observed around South Georgia to compare their behaviour with that of 41 lactating females tracked from the same island. There was significant spatial segregation between the sexes in both the horizontal and the vertical dimensions. Female fur seals foraged near the surface, mostly at night, concentrating their efforts at the shelf break and in deeper off-shelf waters. Males foraged closer to the breeding beaches and their time at sea was concentrated in waters over the continental shelf. Males dived significantly deeper and longer and spent longer in the bottom phase of a dive than females. Females dived mostly at night, whereas males dived much more during the day and overall had greater variability in their behaviour within a trip. Sex was a better predictor of dive durations than mass when depth was considered. Categorizing dives into three types showed that males often foraged on or near the bottom, a behaviour not observed in females. We suggest that body size dimorphism causes sexual differences in foraging behaviour (e.g. dive depth, duration, etc.) but how this is manifested (i.e. trip distance, foraging location) is dependent on the local environment and the related prey resources. (C) 2007 The Association for the Study of Animal Behaviour. Published by Elsevier Ltd. All rights reserved.</t>
  </si>
  <si>
    <t>[Staniland, Iain J.; Robinson, Sarah L.] British Antarctic Survey, NERC, Cambridge CB3 0ET, England</t>
  </si>
  <si>
    <t>Staniland, IJ (corresponding author), British Antarctic Survey, NERC, High Cross,Madingley Rd, Cambridge CB3 0ET, England.</t>
  </si>
  <si>
    <t>ijst@bas.ac.uk</t>
  </si>
  <si>
    <t>Staniland, Iain/I-4725-2012</t>
  </si>
  <si>
    <t>Staniland, Iain/0000-0003-2736-9134</t>
  </si>
  <si>
    <t>ACADEMIC PRESS LTD- ELSEVIER SCIENCE LTD</t>
  </si>
  <si>
    <t>24-28 OVAL RD, LONDON NW1 7DX, ENGLAND</t>
  </si>
  <si>
    <t>0003-3472</t>
  </si>
  <si>
    <t>1095-8282</t>
  </si>
  <si>
    <t>ANIM BEHAV</t>
  </si>
  <si>
    <t>Anim. Behav.</t>
  </si>
  <si>
    <t>10.1016/j.anbehav.2007.10.012</t>
  </si>
  <si>
    <t>278BH</t>
  </si>
  <si>
    <t>WOS:000254258000042</t>
  </si>
  <si>
    <t>Walton, DWH</t>
  </si>
  <si>
    <t>Walton, David W. H.</t>
  </si>
  <si>
    <t>Politicians on ice</t>
  </si>
  <si>
    <t>Walton, David/0000-0002-7103-4043</t>
  </si>
  <si>
    <t>10.1017/S0954102008001119</t>
  </si>
  <si>
    <t>287OI</t>
  </si>
  <si>
    <t>WOS:000254926000001</t>
  </si>
  <si>
    <t>Johansson, P; Thor, G</t>
  </si>
  <si>
    <t>Johansson, Per; Thor, Goeran</t>
  </si>
  <si>
    <t>Lichen species density and abundance over ten years in permanent plots in inland Dronning Maud Land, Antarctica</t>
  </si>
  <si>
    <t>antarctic Treaty; environmental monitoring; lichen diversity; SWEDARP; terrestrial vegetation</t>
  </si>
  <si>
    <t>CLIMATE-CHANGE; CONTINENTAL ANTARCTICA; PLANTS</t>
  </si>
  <si>
    <t>In the austral summer of 1991-92, 120 sample plots were established along 11 transects at various distances from the Swedish research stations Wasa and Svea in Dronning Maud Land, Antarctica. These plots were re-examined in 2001-02 to evaluate overall changes and possible local impact from human activities around the research stations on the terrestrial vegetation, formed by lichens and mosses. The results showed high consistencies over the ten years, but nevertheless suggest a slight overall increase in both lichen species density and abundance, measured as the number of lichen records. We did not find evidence for any severe human impact on the lichens and mosses around the research stations. However, sample plots located close to the Svea station had been affected by station maintenance, which has caused local decline of lichen species such as Umbilicaria decussata. In contrast to the overall consistency and slight increase in lichens we found a decline of Rhizoplaca melanophthalma.</t>
  </si>
  <si>
    <t>[Johansson, Per; Thor, Goeran] Swedish Univ Agr Sci, Dept Ecol, SE-75007 Uppsala, Sweden</t>
  </si>
  <si>
    <t>Swedish University of Agricultural Sciences</t>
  </si>
  <si>
    <t>Johansson, P (corresponding author), Swedish Univ Agr Sci, Dept Ecol, POB 7002, SE-75007 Uppsala, Sweden.</t>
  </si>
  <si>
    <t>per.johansson@nvb.slu.se</t>
  </si>
  <si>
    <t>10.1017/S0954102007000855</t>
  </si>
  <si>
    <t>WOS:000254926000002</t>
  </si>
  <si>
    <t>Southwell, CJ; Paxton, CGM; Borchers, DL; Boveng, PL; Nordy, ES; Blix, AS; de la Mare, WK</t>
  </si>
  <si>
    <t>Southwell, Colin J.; Paxton, Charles G. M.; Borchers, David L.; Boveng, Peter L.; Nordy, Erling S.; Blix, Arnoldus Schytte; de la Mare, William K.</t>
  </si>
  <si>
    <t>Estimating population status under conditions of uncertainty: the Ross seal in East Antarctica</t>
  </si>
  <si>
    <t>abundance; model-based inference; population status</t>
  </si>
  <si>
    <t>PACK-ICE; DIVING BEHAVIOR; ABUNDANCE</t>
  </si>
  <si>
    <t>The Ross seal (Ommatophoca rossii) is the least studied of the Antarctic ice-breeding phocids. In particular, estimating the population status of the Ross seal has proved extremely difficult. The Protocol on Environmental Protection to the Antarctic Treaty currently designates the Ross seal as a 'Specially Protected Species', contrasting with the IUCN's classification of 'Least Concern'. As part of a review of the Ross seal's classification under the Protocol, a survey was undertaken in 1999/2000 to estimate the status of the Ross seal population in the pack ice off East Antarctica between 64-150 degrees E. Shipboard and aerial sighting surveys were carried out along 9476 km of transect to estimate the density of Ross seals hauled out on the ice, and satellite dive recorders deployed on a sample of Ross seals to estimate the proportion of time spent on the ice. The survey design and analysis addressed the many sources of uncertainty in estimating the abundance of this species in an effort to provide a range of best and plausible estimates. Best estimates of abundance in the survey region ranged from 41 300-55 900 seals. Limits on plausible estimates ranged from 20 500 (lower 2.5 percentile) to 226 600 (Upper 97.5 percentile).</t>
  </si>
  <si>
    <t>[Southwell, Colin J.] Australian Antarctic Div, Dept Environm &amp; Water Resources, Kingston, Tas 7050, Australia; [Paxton, Charles G. M.; Borchers, David L.] Univ St Andrews, Sch Math &amp; Stat, St Andrews KY16 9SS, Fife, Scotland; [Boveng, Peter L.] Natl Marine Mammal Lab, Seattle, WA 98115 USA; [Nordy, Erling S.; Blix, Arnoldus Schytte] Univ Tromso, Dept Arct Biol, N-9037 Tromso, Norway; [de la Mare, William K.] CSIRO Marine &amp; Atmospher Res, Cleveland Labs, Cleveland, Qld 4163, Australia</t>
  </si>
  <si>
    <t>Australian Antarctic Division; University of St Andrews; National Oceanic Atmospheric Admin (NOAA) - USA; UiT The Arctic University of Tromso; Commonwealth Scientific &amp; Industrial Research Organisation (CSIRO)</t>
  </si>
  <si>
    <t>Southwell, CJ (corresponding author), Australian Antarctic Div, Dept Environm &amp; Water Resources, Channel Highway, Kingston, Tas 7050, Australia.</t>
  </si>
  <si>
    <t>colin.southwell@aad.gov.au</t>
  </si>
  <si>
    <t>, David/X-5730-2019</t>
  </si>
  <si>
    <t>Paxton, Charles/0000-0002-9350-3197; Borchers, David/0000-0002-3944-0754</t>
  </si>
  <si>
    <t>10.1017/S0954102007000879</t>
  </si>
  <si>
    <t>WOS:000254926000003</t>
  </si>
  <si>
    <t>Nedzarek, A</t>
  </si>
  <si>
    <t>Nedzarek, Arkadiusz</t>
  </si>
  <si>
    <t>Sources, diversity and circulation of biogenic compounds in Admiralty Bay, King George Island, Antarctica</t>
  </si>
  <si>
    <t>nearshore waters; nitrogen; phosphorus; South Shetland islands</t>
  </si>
  <si>
    <t>NUTRIENT UTILIZATION; BRANSFIELD STRAIT; DECEPTION ISLAND; SNOW CHEMISTRY; SOUTHERN-OCEAN; PORT FOSTER; EXCRETION; NITROGEN; SEA; PHYTOPLANKTON</t>
  </si>
  <si>
    <t>This paper presents horizontal and seasonal differences in the concentrations of nitrogen and phosphorus in the surface waters of Admiralty Bay. The average annual concentrations of total nitrogen and total phosphorus were found to be 1. 054 and 0. 129 mg dm(-3) respectively. Organic nitrogen constituted 59% of total nitrogen on average, while N-NO3- was substantially higher than N-NH4+ (0.362 and 0.062 mgN dm(-3), respectively). Organic phosphorus constituted 34% of total phosphorus on average, and the mean annual concentration of reactive phosphorus was 0.085 mgP dm(-3). The observed concentrations of N and P were higher in the nearshore area and lower in the central part of the Admiralty Bay basin. In explaining this account was taken of surface runoff into the bay, the decay of marine macroalgae in the tidal area and the excretion of N and P by marine animals. The concentrations of total nitrogen and total phosphorus in freshwater streams varied from 0.528-5.698 mgN dm(-3) and from 0.088-1.709 mgP dm(-3). In laboratory experiments, 24-hour loads of total nitrogen and total phosphorus released from the remains of macroalgae into the waters of the bay were estimated at about 6.2 N and 10.3 tP, while the approximate quantities excreted by macrozoobenthos were 482 kgN and 48 kgP. The availability of N-NH4+ was seen to be greater in the waters of the bay than has been reported for open water in this part of the ocean and water from the Bransfield Strait had a diluting effect on the concentrations of nitrogen and phosphorus in the bay. The role of the wind in carrying mineral salts from waters of the Bay to the inland environment was also discussed.</t>
  </si>
  <si>
    <t>[Nedzarek, Arkadiusz] Univ Agr, Dept Hydrochem &amp; Water Protect, PL-71550 Szczecin, Poland; [Nedzarek, Arkadiusz] Polish Acad Sci, Dept Antarct Biol, PL-02141 Warsaw, Poland</t>
  </si>
  <si>
    <t>West Pomeranian University of Technology; Polish Academy of Sciences</t>
  </si>
  <si>
    <t>Nedzarek, A (corresponding author), Univ Agr, Dept Hydrochem &amp; Water Protect, K Krolewicza 4H, PL-71550 Szczecin, Poland.</t>
  </si>
  <si>
    <t>arek@fish.ar.szczecin.pl</t>
  </si>
  <si>
    <t>Nędzarek, Arkadiusz/F-3959-2016</t>
  </si>
  <si>
    <t>Nędzarek, Arkadiusz/0000-0002-6094-3647</t>
  </si>
  <si>
    <t>10.1017/S0954102007000909</t>
  </si>
  <si>
    <t>WOS:000254926000004</t>
  </si>
  <si>
    <t>Casaux, R; Ramón, A; Baroni, A</t>
  </si>
  <si>
    <t>Casaux, R.; Ramon, A.; Baroni, A.</t>
  </si>
  <si>
    <t>A method for sexing the chicks of Antarctic shags</t>
  </si>
  <si>
    <t>BIOLOGY</t>
  </si>
  <si>
    <t>[Casaux, R.] Consejo Nacl Invest Cient &amp; Tecn, RA-1033 Buenos Aires, DF, Argentina; [Ramon, A.] Municipalidad Esquel, Subsecretaria Medioambiente, RA-9200 Esquel, Chubut, Argentina; [Baroni, A.] Univ Buenos Aires, Fac Farm &amp; Bioquim, RA-1113 Buenos Aires, DF, Argentina; [Casaux, R.] Inst Antart Argentino, RA-1010 Buenos Aires, DF, Argentina</t>
  </si>
  <si>
    <t>Consejo Nacional de Investigaciones Cientificas y Tecnicas (CONICET); University of Buenos Aires; Instituto Antartico Argentino</t>
  </si>
  <si>
    <t>Casaux, R (corresponding author), LIESA, Ruta 259 Km 5,Planta Aromat, RA-9200 Esquel, Chubut, Argentina.</t>
  </si>
  <si>
    <t>rcasaux@dna.gov.ar</t>
  </si>
  <si>
    <t>10.1017/S0954102007000818</t>
  </si>
  <si>
    <t>WOS:000254926000005</t>
  </si>
  <si>
    <t>Quaglio, F; Anelli, LE; Dos Santos, PR; Perinott, JAD; Rocha-Campos, AC</t>
  </si>
  <si>
    <t>Quaglio, Fernanda; Anelli, Luiz E.; Dos Santos, Paulo R.; Perinott, Jose A. de J.; Rocha-Campos, Antonio C.</t>
  </si>
  <si>
    <t>Invertebrates from the Low Head Member (Polonez Cove Formation, Oligocene) at Vaureal Peak, King George Island, West Antarctica</t>
  </si>
  <si>
    <t>bivalves; brachiopods; Bryozoa; Echinoidea; Palaeogene; Pectinidae; Polychaeta; taxonomy</t>
  </si>
  <si>
    <t>RIBOSOMAL-RNA GENE; SOUTHERN-OCEAN; SEYMOUR-ISLAND; STRATIGRAPHY; BRACHIOPODS; PENINSULA; LIMATULA; MIOCENE; EOCENE; BAY</t>
  </si>
  <si>
    <t>Eight taxa of marine invertebrates, including two new bivalve species, are described from the Low Head Member of the Polonez Cove Formation (latest early Oligocene) cropping out in the Vaureal Peak area, King George Island, West Antarctica. The fossil assemblage includes representatives of Brachiopoda (genera Neothyris sp. and Liothyrella sp.), Bivalvia (Adamussium auristriatum sp. nov., ?Adamussium cf. A. alanbeui Jonkers, and Limatula (Antarctolima) ferraziana sp. nov.), Bryozoa, Polychaeta (serpulid tubes) and Echinodermata. Specimens occur in debris flows deposits of the Low Head Member, as part of a fan delta setting in a high energy, shallow marine environment. Liothyrella sp., Adamussium auristriatum sp. nov. and Limatula ferraziana sp. nov. are among the oldest records for these genera in King George Island. In spite of their restrict number and diversification, bivalves and brachiopods from this study display an overall dispersal pattern that roughly fits in the clockwise circulation of marine currents around Antarctica accomplished in two steps. The first followed the opening of the Tasmanian Gateway at the Eocene/Oligocene boundary, along the eastern margin of Antarctica, and the second took place in post-Palaeogene time, following the Drake Passage opening between Antarctic Peninsula and South America, along the western margin of Antarctica.</t>
  </si>
  <si>
    <t>[Quaglio, Fernanda; Anelli, Luiz E.; Dos Santos, Paulo R.; Rocha-Campos, Antonio C.] Univ Sao Paulo, Inst Geociencias, BR-05508080 Sao Paulo, SP, Brazil; [Perinott, Jose A. de J.] Univ Estadual Paulista, Inst Geociencias &amp; Ciencias Exatas, BR-13506900 Rio Claro, SP, Brazil</t>
  </si>
  <si>
    <t>Universidade de Sao Paulo; Universidade Estadual Paulista</t>
  </si>
  <si>
    <t>Quaglio, F (corresponding author), Univ Sao Paulo, Inst Geociencias, Rua Lago 562,Cidade Univ Sao Paulo, BR-05508080 Sao Paulo, SP, Brazil.</t>
  </si>
  <si>
    <t>quaglio@usp.br</t>
  </si>
  <si>
    <t>Quaglio, Fernanda/F-2765-2013; Anelli, Luiz Eduardo/AAC-4753-2021</t>
  </si>
  <si>
    <t>, Paulo Roberto dos Santos/0000-0002-8979-3451</t>
  </si>
  <si>
    <t>10.1017/S0954102007000867</t>
  </si>
  <si>
    <t>WOS:000254926000006</t>
  </si>
  <si>
    <t>Hultzsch, N; Wagner, B; Diekiviann, B; White, D</t>
  </si>
  <si>
    <t>Hultzsch, Nadja; Wagner, Bernd; Diekiviann, Bernhard; White, Duanne</t>
  </si>
  <si>
    <t>Mineralogical implications for the Late Pleistocene glaciation in Amery Oasis, East Antarctica, from a lake sediment core</t>
  </si>
  <si>
    <t>clay minerals; sediment provenance; ice thickness</t>
  </si>
  <si>
    <t>PRINCE-CHARLES MOUNTAINS; PRYDZ BAY; LAMBERT GRABEN; RADOK LAKE; CLAY; HISTORY; DEGLACIATION; ASSEMBLAGES; REGION</t>
  </si>
  <si>
    <t>The clay mineralogical composition of a 552 cm long sediment core from Lake Terrasovoje in Amery Oasis, East Antarctica, was analysed and compared with that in surface sediments from other locations in the vicinity. The lower part of the sediment core is formed by sub- and proglacial sediments with a dominance of smectite and illite, and lower amounts of kaolinite and chlorite. The upper part of the core is deposited after 12 500 cal yr BP and mainly composed of illite and kaolinite, with low amounts of smectite and chlorite, such as found in samples from rock outcrops and covering sediments throughout Amery Oasis. The clay composition in the lower section of core Lz1005 suggest that the basin of Lake Terrasovoje was filled by a 150-200 m thickened Nemesis Glacier prior to 12 500 cal yr BP rather than by local ice caps.</t>
  </si>
  <si>
    <t>[Wagner, Bernd] Univ Cologne, Inst Geol &amp; Mineral, D-50674 Cologne, Germany; [Hultzsch, Nadja; Diekiviann, Bernhard] Alfred Wegener Inst Polar &amp; Marine Res, D-14473 Potsdam, Germany; [White, Duanne] Macquarie Univ, Dept Phys Geog, N Ryde, NSW 2109, Australia</t>
  </si>
  <si>
    <t>University of Cologne; Helmholtz Association; Alfred Wegener Institute, Helmholtz Centre for Polar &amp; Marine Research; Macquarie University</t>
  </si>
  <si>
    <t>Wagner, B (corresponding author), Univ Cologne, Inst Geol &amp; Mineral, Zulpicher Str 49A, D-50674 Cologne, Germany.</t>
  </si>
  <si>
    <t>wagnerb@uni-koeln.de</t>
  </si>
  <si>
    <t>Wagner, Bernd/J-4682-2012; White, Duanne A/E-6919-2012</t>
  </si>
  <si>
    <t>Wagner, Bernd/0000-0002-1369-7893; White, Duanne/0000-0003-0740-2072; Hultzsch, Nadja/0000-0001-5545-8412; Diekmann, Bernhard/0000-0001-5129-3649</t>
  </si>
  <si>
    <t>10.1017/S0954102007000880</t>
  </si>
  <si>
    <t>WOS:000254926000007</t>
  </si>
  <si>
    <t>Maestro, A; López-Martínez, J; Bohoyo, F; Montes, M; Nozal, F; Santillana, S; Marenssi, S</t>
  </si>
  <si>
    <t>Maestro, A.; Lopez-Martinez, J.; Bohoyo, F.; Montes, M.; Nozal, F.; Santillana, S.; Marenssi, S.</t>
  </si>
  <si>
    <t>Geodynamic implications of the Cenozoic stress field on Seymour Island, West Antarctica</t>
  </si>
  <si>
    <t>Antarctic Peninsula; brittle mesostructures analysis; extensional tectonics; intraplate back-arc basin; palaeostress orientation; stress trajectories; Weddell Sea</t>
  </si>
  <si>
    <t>BACK-ARC BASIN; POWELL BASIN; WEDDELL SEA; TECTONIC EVOLUTION; LIVINGSTON-ISLAND; ACTIVE TECTONICS; BRANSFIELD BASIN; SCOTIA SEA; PENINSULA; RIDGE</t>
  </si>
  <si>
    <t>Palaeostress inferred from brittle mesostructures in Seymour (Marambio) Island indicates a Cenozoic to Recent origin for an extensional stress field, with only local compressional stress states. Minimum horizontal stress (sigma(3)) orientations are scattered about two main NE-SW and NW-SE modes suggesting that two stress sources have been responsible for the dominant minimum horizontal stress directions in the north-westem Weddell Sea. Extensional structures within a broad-scale compressional stress field can be linked to both the decrease in relative stress magnitudes from active margins to intraplate regions and the rifting processes that occurred in the northern Weddell Sea. Stress states with NW-SE trending sigma(3) are compatible with back-are extension along the eastern Antarctic Peninsula. We interpret this as due to the opening of the Larsen Basin during upper Cretaceous to Eocene and to the spreading, from Pliocene to present, of the Bransfield Basin (western Antarctic Peninsula), both due to former Phoenix Plate subduction under the Antarctic Plate. NE-SW sigma(3) orientations could be expressions of continental fragmentation of the northern Antarctic Peninsula controlling eastwards drifting of the South Orkney microcontinent and other submerged continental blocks of the southern Scotia Sea.</t>
  </si>
  <si>
    <t>[Maestro, A.; Bohoyo, F.; Montes, M.; Nozal, F.] Inst Geol &amp; Minero Espana, Madrid 28003, Spain; [Maestro, A.; Lopez-Martinez, J.] Univ Autonoma Madrid, Dept Geol &amp; Geoquim, Fac Ciencias, E-28049 Madrid, Spain; [Santillana, S.; Marenssi, S.] Inst Antart Argentino, RA-1010 Buenos Aires, DF, Argentina</t>
  </si>
  <si>
    <t>Autonomous University of Madrid; Instituto Antartico Argentino</t>
  </si>
  <si>
    <t>Maestro, A (corresponding author), Inst Geol &amp; Minero Espana, Rio Rosas 23, Madrid 28003, Spain.</t>
  </si>
  <si>
    <t>a.maestro@igme.es</t>
  </si>
  <si>
    <t>Montes, Mario/B-2463-2013; Maestro, Adolfo/ABG-7268-2021; Lopez-Martinez, Jeronimo/C-5744-2011; Bohoyo, Fernando/AAZ-5990-2021; Maestro, Adolfo/K-2434-2014; Bohoyo, Fernando/C-1062-2011</t>
  </si>
  <si>
    <t>Lopez-Martinez, Jeronimo/0000-0002-1750-8287; Bohoyo, Fernando/0000-0002-1044-8816; Maestro, Adolfo/0000-0002-7474-725X; Bohoyo, Fernando/0000-0002-1044-8816</t>
  </si>
  <si>
    <t>10.1017/S0954102007000892</t>
  </si>
  <si>
    <t>WOS:000254926000008</t>
  </si>
  <si>
    <t>Solari, MA; Hervé, F; Martinod, J; Le Roux, JP; Ramírez, LE; Palacios, C</t>
  </si>
  <si>
    <t>Solari, M. A.; Herve, F.; Martinod, J.; Le Roux, J. P.; Ramirez, L. E.; Palacios, C.</t>
  </si>
  <si>
    <t>Geotectonic evolution of the Bransfield Basin, Antarctic Peninsula:: insights from analogue models</t>
  </si>
  <si>
    <t>back-arc basin; Bransfield Strait; Scotia Plate; South Shetland Islands</t>
  </si>
  <si>
    <t>SOUTH-SHETLAND-ISLANDS; DECEPTION ISLAND; WEST ANTARCTICA; PLATE BOUNDARY; KING-GEORGE; STRAIT; RIDGE; KINEMATICS; EXTENSION; VOLCANISM</t>
  </si>
  <si>
    <t>The Bransfield Strait, located between the South Shetland Islands and the north-western end of the Antarctic Peninsula, is a back-arc basin transitional between rifting and spreading. We compiled a geomorphological structural map of the Bransfield Basin combining published data and the interpretation of bathymetric images. Several analogue experiments reproducing the interaction between the Scotia, Antarctic, and Phoenix plates were carried out. The fault configuration observed in the geomorphological structural map was well reproduced by one of these analogue models. The results suggest the establishment of a transpressional regime to the west of the southern segment of the Shackleton Fracture Zone and a transtensional regime to the south-west of the South Scotia Ridge by at least c. 7 Ma. A probable mechanism for the opening of the Bransfield Basin requires two processes: 1) Significant transtensional effects in the Bransfield Basin caused by the configuration and drift vector of the Scotia Plate after the activity of the West Scotia Ridge ceased at c. 7 Ma. 2) Roll-back of the Phoenix Plate under the South Shetland Islands after cessation of spreading activity of the Phoenix Ridge at 3.3 +/- 0.2 Ma, causing the north-westward migration of the South Shetland Trench.</t>
  </si>
  <si>
    <t>[Solari, M. A.; Herve, F.; Le Roux, J. P.; Ramirez, L. E.; Palacios, C.] Univ Chile, Dept Geol, Santiago, Chile; [Martinod, J.] Univ Toulouse 3, LMTG, IRD, F-31400 Toulouse, France</t>
  </si>
  <si>
    <t>Universidad de Chile; Universite de Toulouse; Universite Toulouse III - Paul Sabatier; Centre National de la Recherche Scientifique (CNRS); Institut de Recherche pour le Developpement (IRD)</t>
  </si>
  <si>
    <t>Solari, MA (corresponding author), Univ Chile, Dept Geol, POB 13518,Correo 21, Santiago, Chile.</t>
  </si>
  <si>
    <t>msolari@cec.uchile.cl</t>
  </si>
  <si>
    <t>Le Roux, Jacobus/A-9765-2008; Herve, Francisco/HDO-6628-2022; martinod, joseph/N-4238-2016; Le Roux, Jacobus Philippus/U-7085-2019; Palacios, Carlos/E-1887-2012</t>
  </si>
  <si>
    <t>Le Roux, Jacobus/0000-0003-0173-4471; Le Roux, Jacobus Philippus/0000-0003-0173-4471; Paacios, Carlos/0000-0002-4427-0278; martinod, joseph/0000-0003-0891-5232; Palacios, Carlos/0000-0001-8991-7795</t>
  </si>
  <si>
    <t>10.1017/S095410200800093X</t>
  </si>
  <si>
    <t>WOS:000254926000009</t>
  </si>
  <si>
    <t>Huang, FX; Liu, XH; Kong, P; Fink, D; Ju, YT; Fang, AM; Yu, LJ; Li, XL; Na, CG</t>
  </si>
  <si>
    <t>Huang, Feixin; Liu, Xiaohan; Kong, Ping; Fink, David; Ju, Yitai; Fang, Aimin; Yu, Liangjun; Li, Xiaoli; Na, Chunguang</t>
  </si>
  <si>
    <t>Fluctuation history of the interior East Antarctic Ice Sheet since mid-Pliocene</t>
  </si>
  <si>
    <t>bedrock; cosmogenic; exposure age; Grove Mountains; stable</t>
  </si>
  <si>
    <t>CENOZOIC GLACIAL HISTORY; GROVE MOUNTAINS; SIRIUS GROUP; COSMOGENIC NUCLIDES; PRODUCTION-RATES; ROSS EMBAYMENT; EXPOSURE AGES; DRY-VALLEYS; DEGLACIATION; EROSION</t>
  </si>
  <si>
    <t>Cosmogenic Be-10 and Al-26 measurements from bedrock exposures in East Antarctica provide indications of how long the rock surface has been free from glacial cover. Samples from the crests of Zakharoff Ridge and Mount Harding, two typical nunataks in the Grove Mountains, show minimum Be-10 ages of 2.00 +/- 0.22 and 2.30 +/- 0.26 Ma, respectively. These ages suggest that the crests were above the ice sheet at least since the Plio -Pleistocene boundary. Adopting a 'reasonable' erosion rate of 5-10 cm Ma(-1) increases the exposure ages of these two samples to extend into the mid-Pliocene. The bedrock exposure ages steadily decrease with decreasing elevation on the two nunataks, which indicates similar to 200 m decrease of the ice sheet in the Grove Mountains since mid-Pliocene time. Seven higher elevation samples exhibit a simple exposure history, which indicates that the ice sheet in the Grove Mountains decreased only similar to 100 in over a period as long as 1-2 Ma. This suggests that the East Antarctic Ice Sheet (EAIS) was relatively stable during the Pliocene warm interval. Five lower elevation samples suggest a complex exposure history, and indicate that the maximum subsequent increase of the EAIS was only 100 in higher than the present ice surface. Considering the uncertainties, their total initial exposure and subsequent burial time could be later than mid-Pliocene, which may not conflict with the stable mid-Pliocene scenario.</t>
  </si>
  <si>
    <t>[Huang, Feixin; Liu, Xiaohan] Chinese Acad Sci, Inst Tibetal Plateau Res, Beijing 100085, Peoples R China; [Kong, Ping; Ju, Yitai; Fang, Aimin; Yu, Liangjun; Li, Xiaoli; Na, Chunguang] Chinese Acad Sci, Inst Geol &amp; Geophys, Beijing 100029, Peoples R China; [Fink, David] Australian Nucl Sci &amp; Technol Org, Menai, NSW 2234, Australia</t>
  </si>
  <si>
    <t>Chinese Academy of Sciences; Institute of Tibetan Plateau Research, CAS; Chinese Academy of Sciences; Institute of Geology &amp; Geophysics, CAS; Australian Nuclear Science &amp; Technology Organisation</t>
  </si>
  <si>
    <t>Huang, FX (corresponding author), Chinese Acad Sci, Inst Tibetal Plateau Res, Beijing 100085, Peoples R China.</t>
  </si>
  <si>
    <t>fxhuang@itpcas.ac.cn</t>
  </si>
  <si>
    <t>fink, David/A-9518-2012; Li, Xiaoli/GYQ-7384-2022</t>
  </si>
  <si>
    <t>fink, David/0000-0001-7156-4602;</t>
  </si>
  <si>
    <t>10.1017/S0954102007000910</t>
  </si>
  <si>
    <t>WOS:000254926000010</t>
  </si>
  <si>
    <t>Eisele, FL; Davis, DD</t>
  </si>
  <si>
    <t>Eisele, Fred L.; Davis, Douglas D.</t>
  </si>
  <si>
    <t>Antarctic tropospheric chemistry investigation (ANTCI) 2003</t>
  </si>
  <si>
    <t>ATMOSPHERIC ENVIRONMENT</t>
  </si>
  <si>
    <t>[Eisele, Fred L.] Natl Ctr Atmospher Res, Div Atmospher Chem, Boulder, CO 80305 USA; [Davis, Douglas D.] Georgia Inst Technol, Sch Earth &amp; Atmospher Sci, Atlanta, GA 30332 USA</t>
  </si>
  <si>
    <t>National Center Atmospheric Research (NCAR) - USA; University System of Georgia; Georgia Institute of Technology</t>
  </si>
  <si>
    <t>Eisele, FL (corresponding author), Natl Ctr Atmospher Res, Div Atmospher Chem, Boulder, CO 80305 USA.</t>
  </si>
  <si>
    <t>eisele@ucar.edu; douglas.davis@eas.gatech.edu</t>
  </si>
  <si>
    <t>1352-2310</t>
  </si>
  <si>
    <t>ATMOS ENVIRON</t>
  </si>
  <si>
    <t>Atmos. Environ.</t>
  </si>
  <si>
    <t>10.1016/j.atmosenv.2007.09.074</t>
  </si>
  <si>
    <t>314YS</t>
  </si>
  <si>
    <t>WOS:000256845700001</t>
  </si>
  <si>
    <t>Eisele, F; Davis, DD; Helmig, D; Oltmans, SJ; Neff, W; Huey, G; Tanner, D; Chen, G; Crawford, J; Arimoto, R; Buhr, M; Mauldin, L; Hutterli, M; Dibb, J; Blake, D; Brooks, SB; Johnson, B; Roberts, JM; Wang, YH; Tan, D; Flocke, F</t>
  </si>
  <si>
    <t>Eisele, Fred; Davis, Douglas D.; Helmig, Detlev; Oltmans, Samuel J.; Neff, William; Huey, Greg; Tanner, David; Chen, Gao; Crawford, Jim; Arimoto, Richard; Buhr, Martin; Mauldin, Lee; Hutterli, Manuel; Dibb, Jack; Blake, D.; Brooks, Steven B.; Johnson, Bryan; Roberts, James M.; Wang, Yuhang; Tan, David; Flocke, Frank</t>
  </si>
  <si>
    <t>Antarctic Tropospheric Chemistry Investigation (ANTCI) 2003 overview</t>
  </si>
  <si>
    <t>antarctic photochemistry; south pole chemistry; nitric oxide; hydroxyl radical; ozone</t>
  </si>
  <si>
    <t>SOUTH-POLE; ICE; METHANESULFONATE; DIMETHYLSULFIDE; RECORD; FLUX</t>
  </si>
  <si>
    <t>The Antarctic Tropospheric Chemistry Investigation (ANTCI) was carried out from late November to December 2003 with both extended ground-based and tethered balloon studies at Amundsen Scott Station, South Pole. ANTCI 2003 was the first of two Antarctic field studies with the primary goal of further exploring the active photochemistry of the South Pole region that was first identified in the previous Investigation of Sulfur Chemistry in the Antarctic Troposphere (ISCAT) program. Since ISCAT was fully ground-based, ANTCI 2003 goals included expanding chemical studies both vertically upward to investigate mixing and horizontally to better understand large-scale plateau NO, production and transport. Thus, in addition to ground-based experiments at South Pole, Twin Otter aircraft sampling took place out to hundreds of kilometers in several directions from the South Pole. These were designed to specifically address the issue of how representative past South Pole chemical measurements are of the surrounding high plateau region. The Twin Otterwas also used to make transects along the coast both north and south of McMurdo Station. The present paper summarizes the overall setting and results of this investigation and highlights the many new findings that were obtained. (C) 2007 Elsevier Ltd. All rights reserved.</t>
  </si>
  <si>
    <t>[Eisele, Fred; Flocke, Frank] Natl Ctr Atm Res, Atm Chem Div, Boulder, CO 80305 USA; [Eisele, Fred; Davis, Douglas D.; Huey, Greg; Tanner, David; Wang, Yuhang; Tan, David] Georgia Inst Technol, Sch Earth &amp; Atm Sci, Atlanta, GA 30332 USA; [Helmig, Detlev] Univ Colorado, INSTAAR, Boulder, CO 80309 USA; [Oltmans, Samuel J.; Neff, William; Roberts, James M.] NOAA, Earth Syst Res Lab, Boulder, CO 80305 USA; [Chen, Gao; Crawford, Jim] NASA, Langley Res Ctr, Atm Sci Div, Hampton, VA 23681 USA; [Arimoto, Richard] New Mexico State Univ, Carlsbad Envir Monitoring Res Ctr, Carlsbad, NM 88220 USA; [Buhr, Martin] Air Qual Design Inc, Golden, CO 80403 USA; [Hutterli, Manuel] British Antarctic Survey, Cambridge CB3 0ET, England; [Hutterli, Manuel] Univ Arizona, Dept Hydrol &amp; Water Resources, Tucson, AZ 85721 USA; [Dibb, Jack] Univ New Hampshire, Climate Change Res Ctr, Durham, NH 03824 USA; [Blake, D.] Univ Calif Irvine, Dept Chem, Irvine, CA 92717 USA; [Brooks, Steven B.] NOAA, Atmospher Turbulence &amp; Diffus Div, Oak Ridge, TN USA; [Johnson, Bryan] NOAA, Syst Res Lab, Global Monitoring Div, Boulder, CO 80305 USA</t>
  </si>
  <si>
    <t>University System of Georgia; Georgia Institute of Technology; University of Colorado System; University of Colorado Boulder; National Oceanic Atmospheric Admin (NOAA) - USA; National Aeronautics &amp; Space Administration (NASA); NASA Langley Research Center; New Mexico State University; UK Research &amp; Innovation (UKRI); Natural Environment Research Council (NERC); NERC British Antarctic Survey; University of Arizona; University System Of New Hampshire; University of New Hampshire; University of California System; University of California Irvine; National Oceanic Atmospheric Admin (NOAA) - USA; National Oceanic Atmospheric Admin (NOAA) - USA</t>
  </si>
  <si>
    <t>Eisele, F (corresponding author), Natl Ctr Atm Res, Atm Chem Div, Boulder, CO 80305 USA.</t>
  </si>
  <si>
    <t>eisele@ucar.edu</t>
  </si>
  <si>
    <t>Neff, William D/E-2725-2010; Flocke, Frank/AAD-1356-2019; Wang, Yuhang/B-5578-2014; Roberts, James/AAI-3283-2020; Tan, David/HIR-2214-2022; Oltmans, Samuel/AAC-8987-2022; Roberts, James/A-1082-2009; Crawford, James/L-6632-2013</t>
  </si>
  <si>
    <t>Neff, William D/0000-0003-4047-7076; Flocke, Frank/0000-0002-2661-6394; Wang, Yuhang/0000-0002-7290-2551; Roberts, James/0000-0002-2671-3207; Blake, Donald/0000-0002-8283-5014; Crawford, James/0000-0002-6982-0934</t>
  </si>
  <si>
    <t>NERC [bas010016, bas010011] Funding Source: UKRI; Natural Environment Research Council [bas010011, bas010016] Funding Source: researchfish</t>
  </si>
  <si>
    <t>1873-2844</t>
  </si>
  <si>
    <t>10.1016/j.atmosenv.2007.04.013</t>
  </si>
  <si>
    <t>WOS:000256845700002</t>
  </si>
  <si>
    <t>Neff, W; Helmig, D; Grachev, A; Davis, D</t>
  </si>
  <si>
    <t>Neff, W.; Helmig, D.; Grachev, A.; Davis, D.</t>
  </si>
  <si>
    <t>A study of boundary layer behavior associated with high NO concentrations at the South Pole using a minisodar, tethered balloons and sonic anemometer</t>
  </si>
  <si>
    <t>South Pole; polar chemistry and meteorology; sodar; boundary-layer height</t>
  </si>
  <si>
    <t>HEIGHT; VARIABILITY; EQUATIONS; DEPTH</t>
  </si>
  <si>
    <t>This paper focuses on the use of an acoustic sounder, or sodar, during the 2003 Antarctic Tropospheric Chemistry Investigation (ANTCI), to document the behavior of very shallow (&lt;50 m) stable boundary layers thought to be one of the critical factors for explaining the very high levels of nitric oxide (NO) found in past field experiments at the South Pole. The use of a tethered balloon, profiling wind, temperature, NO, and ozone provided for a detailed interpretation of sodar data for the period 12-30 December 2003. For the same period, sonic anemometer 2-m turbulence measurements, averaged to 0.5 h, linked surface processes to the evolution of the boundary layer in response to changing radiative balance and synoptic weather changes. A mixing-layer detection method was developed and applied to half-hour average sodar amplitude profiles for the period 23 November-30 December 2003. These data also allowed for testing of simple diagnostic equations for the mixing-layer depth as well as estimates of vertical diffusion rates under stable conditions, the latter being important for the effective depth of the mixing layer vis-a-vis the nonlinear NO chemistry postulated from earlier analyses. With the extended sampling period, two sub-seasonal regimes were examined: (1) a late-December period, with the full suite of supporting measurements, where the earlier results that shallow mixing layers associated with light winds and strong surface stability can be among the dominant factors leading to high NO levels were repeated and (2) a late November period that revealed additional complexities with very high NO concentrations appearing at times in concert with higher winds, weaker surface stability, and deeper mixing layers. The latter results are only consistent with a more complicated picture of how NO can build to very high levels that involves invoking the previously expressed dependence of elevated NO levels on nonlinear NO(x) (NO(x) = NO+ NO(2)) chemistry, greater fluxes of NO(x) from the snowpack than previously observed at the South Pole, and the potential for enhanced NO(x) accumulation effects involving air parcels draining off the high plateau. The results of ANTCI from 2003 thus argue for more complete future observations of boundary layer conditions over the high Antarctic Plateau and determination of the spatial and temporal variability ofsnow nitrate concentrations over the high plateau and their relation to NO recycling and the snow accumulation/ablation/erosion cycle. (C) 2007 Elsevier Ltd. All rights reserved.</t>
  </si>
  <si>
    <t>[Neff, W.; Grachev, A.] NOAA, Earth Syst Res Lab, Boulder, CO 80305 USA; [Helmig, D.] Univ Colorado, Inst Arctic &amp; Alpine Res, Boulder, CO 80309 USA; [Grachev, A.] Univ Colorado, Cooperat Inst Res Environm Sci, Boulder, CO 80305 USA; [Davis, D.] Georgia Inst Technol, Atlanta, GA 30332 USA</t>
  </si>
  <si>
    <t>National Oceanic Atmospheric Admin (NOAA) - USA; University of Colorado System; University of Colorado Boulder; University of Colorado System; University of Colorado Boulder; University System of Georgia; Georgia Institute of Technology</t>
  </si>
  <si>
    <t>Neff, W (corresponding author), NOAA, Earth Syst Res Lab, 325 Broadway, Boulder, CO 80305 USA.</t>
  </si>
  <si>
    <t>william.neff@noaa.gov</t>
  </si>
  <si>
    <t>GRACHEV, ANDREY/Y-6633-2019; Neff, William D/E-2725-2010</t>
  </si>
  <si>
    <t>GRACHEV, ANDREY/0000-0002-7143-0820; Neff, William D/0000-0003-4047-7076</t>
  </si>
  <si>
    <t>10.1016/j.atmosenv.2007.01.033</t>
  </si>
  <si>
    <t>WOS:000256845700003</t>
  </si>
  <si>
    <t>Johnson, BJ; Helmig, D; Oltmans, SJ</t>
  </si>
  <si>
    <t>Johnson, Bryan J.; Helmig, Detlev; Oltmans, Samuel J.</t>
  </si>
  <si>
    <t>Evaluation of ozone measurements from a tethered balloon-sampling platform at South Pole Station in December 2003</t>
  </si>
  <si>
    <t>ozonesonde; ozone measurements; tropospheric ozone; snow photochemistry</t>
  </si>
  <si>
    <t>LAYER</t>
  </si>
  <si>
    <t>Vertical boundary-layer ozone profiles were measured from a tethered balloon platform during the 2003 Antarctic Tropospheric Chemistry Investigation (ANTCI) at South Pole Station, Antarctica. Electrochemical concentration cell (ECC) ozonesondes were used in obtaining 128 ascent and descent profile measurements to about 500m height during 13-30 December 2003. Various data checks and intercomparisons were done to confirm the accuracy of the ozonesondes. The ozonesondes compared well to a surface ozone ultra-violet (UV) absorption monitor located next to the tether balloon site. During the 18-day period, ozonesonde measurement checks at the surface averaged 0.2 +/- 1.0 ppbv higher than the continuous ozone measurements under ambient concentrations ranging from 18 to 51 ppbv. This agreement was also consistent when compared to the nearby NOAA UV-monitor sampling at 17 m above ground level during well-mixed conditions near the surface. In addition to the single ECC sonde profiles, five dual ECC ozonesondes were run on the tether platform. Four release balloon-borne ozonesondes were also launched during the project. Under very sharp ozone gradient events, the release ozonesonde (with a rise rate of similar to 4-6 m s(-1)) passed through the gradient layer too quickly to capture the detail as measured by the controlled tethersonde at similar to 0.3 m s(-1) ascent/descent rate. Another method of ozone profiling was also done utilizing the UV monitor at the tether site and a 135-m-long Teflon sampling line with a sampling inlet mounted to and raised with the tethered balloon. The ECC ozonesonde averaged about 0.7 +/- 0.8ppbv lower than the long-line sampling method from eight profiles. (C) 2007 Elsevier Ltd. All rights reserved.</t>
  </si>
  <si>
    <t>[Johnson, Bryan J.; Oltmans, Samuel J.] NOAA, Syst Res Lab, Global Monitoring Div, Boulder, CO 80305 USA; [Helmig, Detlev] Univ Colorado, Earth Syst Inst Arctic &amp; Alpine Res, Boulder, CO 80309 USA</t>
  </si>
  <si>
    <t>National Oceanic Atmospheric Admin (NOAA) - USA; University of Colorado System; University of Colorado Boulder</t>
  </si>
  <si>
    <t>Johnson, BJ (corresponding author), NOAA, Syst Res Lab, Global Monitoring Div, 325 Broadway, Boulder, CO 80305 USA.</t>
  </si>
  <si>
    <t>Bryan.Johnson@noaa.gov</t>
  </si>
  <si>
    <t>Oltmans, Samuel/AAC-8987-2022</t>
  </si>
  <si>
    <t>10.1016/j.atmosenv.2007.03.043</t>
  </si>
  <si>
    <t>WOS:000256845700004</t>
  </si>
  <si>
    <t>Helmig, D; Johnson, B; Oltmans, SJ; Neff, W; Eisele, F; Davis, DD</t>
  </si>
  <si>
    <t>Helmig, Detlev; Johnson, Bryan; Oltmans, Samuel J.; Neff, William; Eisele, Fred; Davis, Douglas D.</t>
  </si>
  <si>
    <t>Elevated ozone in the boundary layer at South Pole</t>
  </si>
  <si>
    <t>Antarctic plateau; tropospheric ozone; snowpack-atmosphere gas exchange; snow photochemistry; synoptic transport</t>
  </si>
  <si>
    <t>PHOTOCHEMICAL PRODUCTION; FLUXES; SUMMIT; NOX; GREENLAND; VARIABILITY; CHEMISTRY; NO(X); HNO3</t>
  </si>
  <si>
    <t>Vertical profile measurements of ozone, water vapor, and meteorological conditions, as well as surface and tower measurements of these parameters during the 2003 Antarctic Tropospheric Chemistry Investigation (ANTCI) yielded their vertical (between the surface and 500 in) and temporal distribution in the boundary layer at South Pole (SP) during December 13-30, 2003. Ozone in the surface and lower planetary boundary layer above SP was frequently enhanced over lower free tropospheric levels. During stable atmospheric conditions (which typically existed during low wind and fair sky conditions) ozone accumulated in the surface layer to reach up to twice its background concentration. These conditions were correlated with air transport from the N-SE sector, when air flowed downslope from the Antarctic plateau towards the SP. These data provide further insight into the vigorous photochemistry and ozone production that result from the highly elevated levels of nitrogen oxides (NOx) in the Antarctic surface layer. (C) 2007 Elsevier Ltd. All rights reserved.</t>
  </si>
  <si>
    <t>[Helmig, Detlev] Univ Colorado, Inst Arctic &amp; Alpine Res, Boulder, CO 80309 USA; [Johnson, Bryan; Oltmans, Samuel J.; Neff, William] NOAA, Earth Syst Res Lab, Boulder, CO 80305 USA; [Eisele, Fred] Natl Ctr Atmospher Res, Boulder, CO 80307 USA; [Davis, Douglas D.] Georgia Inst Technol, Atlanta, GA 30332 USA</t>
  </si>
  <si>
    <t>University of Colorado System; University of Colorado Boulder; National Oceanic Atmospheric Admin (NOAA) - USA; National Center Atmospheric Research (NCAR) - USA; University System of Georgia; Georgia Institute of Technology</t>
  </si>
  <si>
    <t>Helmig, D (corresponding author), Univ Colorado, Inst Arctic &amp; Alpine Res, UCB 450, Boulder, CO 80309 USA.</t>
  </si>
  <si>
    <t>Detlev.Helmig@colorado.edu</t>
  </si>
  <si>
    <t>Oltmans, Samuel/AAC-8987-2022; Neff, William D/E-2725-2010</t>
  </si>
  <si>
    <t>Neff, William D/0000-0003-4047-7076</t>
  </si>
  <si>
    <t>10.1016/j.atmosenv.2006.12.032</t>
  </si>
  <si>
    <t>WOS:000256845700005</t>
  </si>
  <si>
    <t>Oltmans, SJ; Johnson, BJ; Helmig, D</t>
  </si>
  <si>
    <t>Oltmans, Samuel J.; Johnson, Bryan J.; Helmig, Detlev</t>
  </si>
  <si>
    <t>Episodes of high surface-ozone amounts at South Pole during summer and their impact on the long-term surface-ozone variation</t>
  </si>
  <si>
    <t>tropospheric ozone; South Pole; Antarctica; ANTCI 2003</t>
  </si>
  <si>
    <t>TROPOSPHERIC OZONE; VARIABILITY; ANTARCTICA; SNOWPACK; NO</t>
  </si>
  <si>
    <t>Long-term surface-ozone and ozone-profile measurements are used to investigate the character of summertime ozone behavior at South Pole. Summer ozone profiles show a significant gradient more than 40% of the time in which mixing ratios at the surface are at least eight parts per billion by volume (ppbv) higher, and may exceed 20 ppbv higher, than mixing ratios several hundred meters above the surface. These ozone gradients are linked to very stable conditions in the boundary layer. The frequency of occurrence of these surface-ozone enhancements has varied with time with the most recent 10-year period showing a greater number of occurrences. Although the summer enhancements have influenced the overall long-term pattern of change in surface ozone, they are not the only factor. The earlier decline in surface-ozone amounts that continued into the mid 1990s was influenced by changes in other seasons as well. Surface-ozone measurements from the 1960s show that summer enhancements were a significant feature of the record at South Pole during this period. Measurements at a lower elevation inland location (Byrd Station), not on the Antarctic Plateau, do not show large summer ozone chemical production events indicating that this phenomenon is primarily confined to the plateau. (C) 2007 Elsevier Ltd. All rights reserved.</t>
  </si>
  <si>
    <t>[Oltmans, Samuel J.; Johnson, Bryan J.] NOAA, Earth Syst Res Lab, Global Monitoring Div, Boulder, CO 80305 USA; [Helmig, Detlev] Univ Colorado, Inst Arctic &amp; Alpine Res, Boulder, CO 80309 USA</t>
  </si>
  <si>
    <t>Oltmans, SJ (corresponding author), NOAA, Earth Syst Res Lab, Global Monitoring Div, 325 Broadway, Boulder, CO 80305 USA.</t>
  </si>
  <si>
    <t>Samuel.J.Oltmans@noaa.gov</t>
  </si>
  <si>
    <t>10.1016/j.atmosenv.2007.01.020</t>
  </si>
  <si>
    <t>WOS:000256845700006</t>
  </si>
  <si>
    <t>Helmig, D; Johnson, BJ; Warshawsky, M; Morse, T; Neff, WD; Eisele, F; Davis, DD</t>
  </si>
  <si>
    <t>Helmig, Detlev; Johnson, Bryan J.; Warshawsky, Matt; Morse, Thomas; Neff, William D.; Eisele, Fred; Davis, Douglas D.</t>
  </si>
  <si>
    <t>Nitric oxide in the boundary-layer at South Pole during the Antarctic Tropospheric Chemistry Investigation (ANTCI)</t>
  </si>
  <si>
    <t>Antarctic plateau; snowpack-atmosphere gas exchange; snow photochemistry; tethered balloon profiling; nitric oxide; ozone</t>
  </si>
  <si>
    <t>VERTICAL PROFILES; ISCAT 2000; PHOTOCHEMICAL PRODUCTION; PERUVIAN AMAZON; FLUXES; NOX; GREENLAND; SNOWPACK; SUMMIT; OZONE</t>
  </si>
  <si>
    <t>The vertical distribution of nitric oxide (NO) was investigated by profiling from a tethered balloon platform during the 2003 Antarctic Tropospheric Chemistry Investigation (ANTCI) at South Pole (SP), Antarctica. The lower atmosphere was probed between the surface and 120 m height by pulling air from an inlet attached to the balloon through a thin-wall, 135 m-long Teflon sampling line and by analyzing NO in this airflow with a ground-borne monitor. Losses and conversion of NO during the 2-4-min residence time in the sampling line were on average on the order of 6-16%, providing a feasible approach for the measurement of vertical NO profiles under SP conditions. NO was found to be highly variable within the lowest 100 m of the atmosphere. Greatly enhanced NO mixing ratios were constrained to a shallow (20-50 m height) air layer nearest to the surface, above which NO rapidly dropped to its mixed boundary layer background levels. Concurrent measurements of ozone and meteorological conditions provide insight into linkages between the ongoing snowpack and boundary layer nitrogen oxides (NO(x) = NO + NO(2)) and ozone chemistry. Since [OH] and [HO(2)] are non-linearly coupled to absolute levels of NO(x), their concentrations and the rate of ozone production are expected to similarly show appreciable changes on small vertical scales during conditions with enhanced [NO(x)]. (C) 2007 Elsevier Ltd. All rights reserved.</t>
  </si>
  <si>
    <t>[Helmig, Detlev; Morse, Thomas] Univ Colorado, Inst Arctic &amp; Alpine Res, Boulder, CO 80309 USA; [Johnson, Bryan J.; Neff, William D.] NOAA, Earth Syst Res Lab, Boulder, CO 80305 USA; [Warshawsky, Matt] AzeoTech Inc, Ashland, OR 97520 USA; [Eisele, Fred] Natl Ctr Atmospher Res, Boulder, CO 80307 USA; [Davis, Douglas D.] Georgia Inst Technol, Atlanta, GA 30332 USA</t>
  </si>
  <si>
    <t>Helmig, D (corresponding author), Univ Colorado, Inst Arctic &amp; Alpine Res, Boulder, CO 80309 USA.</t>
  </si>
  <si>
    <t>Neff, William D/E-2725-2010</t>
  </si>
  <si>
    <t>10.1016/j.atmosenv.2007.03.061</t>
  </si>
  <si>
    <t>WOS:000256845700007</t>
  </si>
  <si>
    <t>Davis, DD; Seelig, J; Huey, G; Crawford, J; Chen, G; Wang, YH; Buhr, M; Helmig, D; Neff, W; Blake, D; Arimoto, R; Eisele, F</t>
  </si>
  <si>
    <t>Davis, Douglas D.; Seelig, Jon; Huey, Greg; Crawford, Jim; Chen, Gao; Wang, Yuhang; Buhr, Marty; Helmig, Detlev; Neff, William; Blake, Don; Arimoto, Rich; Eisele, Fred</t>
  </si>
  <si>
    <t>A reassessment of Antarctic plateau reactive nitrogen based on ANTO 2003 airborne and ground based measurements</t>
  </si>
  <si>
    <t>Antarctic plateau; reactive nitrogen; nitric oxide; airborne profiles; nitrate; recycling; hydroxyl radicals; oxidizing canopy; ice core chemical proxies</t>
  </si>
  <si>
    <t>NEAR-SURFACE SNOW; SOUTH-POLE; ICE CORES; PHOTOCHEMICAL PRODUCTION; BOUNDARY-LAYER; QUANTUM YIELDS; NITRATE; ACID; NOX; OH</t>
  </si>
  <si>
    <t>The first airborne measurements of nitric oxide (NO) on the Antarctic plateau have demonstrated that the previously reported elevated levels of this species extend well beyond the immediate vicinity of South Pole. Although the current database is still relatively weak and critical laboratory experiments are still needed, the findings here suggest that the chemical uniqueness of the plateau may be substantially greater than first reported. For example, South Pole ground-based findings have provided new evidence showing that the dominant process driving the release of nitrogen from the snowpack during the spring/summer season (post-depositional loss) is photochemical in nature with evaporative processes playing a lesser role. There is also new evidence suggesting that nitrogen, in the form of nitrate, may undergo multiple recycling within a given photochemical season. Speculation here is that this may be a unique property of the plateau and much related to its having persistent cold temperatures even during summer. These conditions promote the efficient adsorption of molecules like HNO3 (and very likely HO2NO2) onto snow-pack surface ice where we have hypothesized enhanced photochemical processing can occur, leading to the efficient release of NOx to the atmosphere. In addition, to these process-oriented tentative conclusions, the findings from the airborne studies, in conjunction with modeling exercises suggest a new paradigm for the plateau atmosphere. The near-surface atmosphere over this massive region can be viewed as serving as much more than a temporary reservoir or holding tank for imported chemical species. It defines an immense atmospheric chemical reactor which is capable of modifying the chemical characteristics of select atmospheric constituents. This reactor has most likely been in place over geological time, and may have led to the chemical modulation of some tracespecies now found in ice cores. Reactive nitrogen has played a critical role in both establishing and in maintaining this reactor. (C) 2007 Elsevier Ltd. All rights reserved.</t>
  </si>
  <si>
    <t>[Davis, Douglas D.; Seelig, Jon; Huey, Greg; Wang, Yuhang] Georgia Inst Technol, Sch Earth &amp; Atmospher Sci, Atlanta, GA 30332 USA; [Crawford, Jim; Chen, Gao] NASA, Langley Res Ctr, Hampton, VA 23681 USA; [Buhr, Marty] Air Qual Design, Golden, CO 80403 USA; [Helmig, Detlev] Univ Colorado, Inst Arctic &amp; Alpine Res, Boulder, CO 80309 USA; [Neff, William] NOAA, Earth Syst Res Lab, Boulder, CO 80305 USA; [Blake, Don] Univ Calif Irvine, Dept Chem, Irvine, CA USA; [Arimoto, Rich] New Mexico State Univ, Carsbad Environm Monitoring &amp; Res Ctr, Carlsbad, NM 88220 USA; [Eisele, Fred] Natl Ctr Atmospher Res, Div Atmospher Chem, Boulder, CO 80303 USA</t>
  </si>
  <si>
    <t>University System of Georgia; Georgia Institute of Technology; National Aeronautics &amp; Space Administration (NASA); NASA Langley Research Center; University of Colorado System; University of Colorado Boulder; National Oceanic Atmospheric Admin (NOAA) - USA; University of California System; University of California Irvine; New Mexico State University; National Center Atmospheric Research (NCAR) - USA</t>
  </si>
  <si>
    <t>Davis, DD (corresponding author), Georgia Inst Technol, Sch Earth &amp; Atmospher Sci, Atlanta, GA 30332 USA.</t>
  </si>
  <si>
    <t>douglas.davis@eas.gatech.edu</t>
  </si>
  <si>
    <t>Neff, William D/E-2725-2010; Wang, Yuhang/B-5578-2014; Crawford, James/L-6632-2013</t>
  </si>
  <si>
    <t>Neff, William D/0000-0003-4047-7076; Wang, Yuhang/0000-0002-7290-2551; Crawford, James/0000-0002-6982-0934; Blake, Donald/0000-0002-8283-5014</t>
  </si>
  <si>
    <t>10.1016/j.atmosenv.2007.07.039</t>
  </si>
  <si>
    <t>WOS:000256845700008</t>
  </si>
  <si>
    <t>Wang, YH; Choi, Y; Zeng, T; Davis, D; Buhr, M; Huey, LG; Neff, W</t>
  </si>
  <si>
    <t>Wang, Yuhang; Choi, Yunsoo; Zeng, Tao; Davis, Douglas; Buhr, Martin; Huey, L. Gregory; Neff, William</t>
  </si>
  <si>
    <t>Assessing the photochemical impact of snow NOx emissions over Antarctica during ANTCI 2003 (reprinted from Atmospheric Environment, vol 41, pg 3944-3958, 2007)</t>
  </si>
  <si>
    <t>Reprint</t>
  </si>
  <si>
    <t>Antarctica; photochemistry and transport; snow emissions; nitrogen flux; ANTCI</t>
  </si>
  <si>
    <t>SOUTH-POLE; PEROXYNITRIC ACID; BOUNDARY-LAYER; CHEMISTRY; GREENLAND; MODEL; OH; VARIABILITY; CIRCULATION; OZONE</t>
  </si>
  <si>
    <t>Surface and aircraft measurements show large amounts of reactive nitrogen over the Antarctic plateau during the ANTCI 2003 experiment. We make use of 1-D and 3-D chemical transport model simulations to analyze these measurements and assess the photochemical impact of snow NO(x) emissions. Boundary layer heights measured by SODAR at the South Pole were simulated reasonably well by the polar version of MM5 after a modification of ETA turbulence scheme. The average of model-derived snow NO(x) emissions (3.2-4.2 x 10(8) molec cm(-2) s(-1)) at the South Pole is similar to the measured flux of 3.9 x 10(8) molec cm(-2) s(-1) during ISCAT 2000. Daytime snow NO(x) emission is parameterized as a function of temperature and wind speed. Surface measurements of NO, HNO(3) and HNO(4), and balloon measurements of NO at the South Pole are reasonably simulated by 1-D and 3-D models. Compared to Twin Otter measurements of NO over plateau regions, 3-D model simulated NO concentrations are at the low end of the observations, suggesting either that the parameterization based on surface measurements at the South Pole underestimates emissions at higher-elevation plateau regions or that the limited aircraft database may not be totally representative for the season of the year sampled. However, the spatial variability of near-surface NO measured by the aircraft is captured by the model to a large extent, indicating that snow NO(x) emissions are through a common mechanism. An average emission flux of 0.25 kg N km(-2) month(-1) is calculated for December 2003 over the plateau (elevation above 2.5km). About 50% of reactive nitrogen is lost by deposition and the other 50% by transport. The 3-D model results indicate a shallow but highly photochemically active oxidizing canopy enshrouding the entire Antarctic plateau due to snow NO(x) emissions. (C) 2008 Elsevier Ltd. All rights reserved.</t>
  </si>
  <si>
    <t>[Wang, Yuhang; Choi, Yunsoo; Zeng, Tao; Davis, Douglas; Huey, L. Gregory] Georgia Inst Technol, Atlanta, GA 30332 USA; [Buhr, Martin] Air Qual Design, Golden, CO 80403 USA; [Neff, William] NOAA, Earth Syst Res Lab, Div Phys Sci, Boulder, CO 80305 USA</t>
  </si>
  <si>
    <t>University System of Georgia; Georgia Institute of Technology; National Oceanic Atmospheric Admin (NOAA) - USA</t>
  </si>
  <si>
    <t>Wang, YH (corresponding author), Georgia Inst Technol, Atlanta, GA 30332 USA.</t>
  </si>
  <si>
    <t>ywang@eas.gatech.edu</t>
  </si>
  <si>
    <t>Wang, Yuhang/B-5578-2014; Neff, William D/E-2725-2010</t>
  </si>
  <si>
    <t>Wang, Yuhang/0000-0002-7290-2551; Neff, William D/0000-0003-4047-7076</t>
  </si>
  <si>
    <t>10.1016/j.atmosenv.2007.07.062</t>
  </si>
  <si>
    <t>WOS:000256845700009</t>
  </si>
  <si>
    <t>Arimoto, R; Zeng, T; Davis, D; Wang, Y; Khaing, H; Nesbit, C; Huey, G</t>
  </si>
  <si>
    <t>Arimoto, R.; Zeng, T.; Davis, D.; Wang, Y.; Khaing, H.; Nesbit, C.; Huey, G.</t>
  </si>
  <si>
    <t>Concentrations and sources of aerosol ions and trace elements during ANTCI-2003</t>
  </si>
  <si>
    <t>sulfur; aerosol ions; elements; radionuclides; South Pole atmosphere</t>
  </si>
  <si>
    <t>SOUTH-POLE; CHEMISTRY; SEA; VARIABILITY; PARTICLES; OXIDATION; NITROGEN; H2SO4; LAND; ACID</t>
  </si>
  <si>
    <t>As part of the Antarctic Tropospheric Chemistry Investigation (ANTCI), bulk aerosol-particle samples collected at the South Pole were analyzed for nitrate, sulfate, methanesulfonate (MSA), selected trace elements and radionuclides. The samples were collected in the same manner as in the Investigation of Sulfur Chemistry in the Antarctic Troposphere (ISCAT) campaigns of 1998 and 2000. The ANTCI mean sulfate (124 ng m(-3)) and MSA (9.1 ng m(-3)) concentrations were comparable to those during ISCAT, but high MSA and sodium and high MSA/sulfate in late November/early December indicated pervasive maritime influences during that time. Trajectory analyses indicate that the Weddell Sea and the Southern Ocean near Wilkes Land were probable sources for the ocean-derived sulfate. The transport of marine air occurs mainly in the buffer layer or free troposphere, and the rapid oxidation of biogenic sulfur to SO2 appears to be the basis for the observed low MSA/sulfate ratios. Elements typically associated with mineral dust (Al, Fe, K) and other elements with continental sources (Pb, Sb, Zn) had higher concentrations during ANTCI than ISCAT. The mean filterable nitrate f-NO3- concentration (280 ng m(-3)) also was conspicuously higher than during ISCAT (39 and 150 ng m(-3)). Several peaks in f-NO3- were synchronous with those for MSA and sulfate, but some samples had high f-NO3- but neither high MSA nor sulfate. While there is some evidence that nitrate or nitric acid is transported to SP from distant sources, local emissions of nitrogen oxides from the snow are a far more important source overall. (C) 2007 Elsevier Ltd. All rights reserved.</t>
  </si>
  <si>
    <t>[Arimoto, R.; Khaing, H.; Nesbit, C.] New Mexico State Univ, Carlsbad Environm Monitoring &amp; Res Ctr, Carlsbad, NM 88220 USA; [Zeng, T.; Davis, D.; Wang, Y.; Huey, G.] Georgia Inst Technol, Sch Earth &amp; Atmospher Sci, Atlanta, GA 30332 USA</t>
  </si>
  <si>
    <t>New Mexico State University; University System of Georgia; Georgia Institute of Technology</t>
  </si>
  <si>
    <t>Arimoto, R (corresponding author), New Mexico State Univ, Carlsbad Environm Monitoring &amp; Res Ctr, Carlsbad, NM 88220 USA.</t>
  </si>
  <si>
    <t>arimoto@cemrc.org</t>
  </si>
  <si>
    <t>Wang, Yuhang/B-5578-2014</t>
  </si>
  <si>
    <t>Wang, Yuhang/0000-0002-7290-2551</t>
  </si>
  <si>
    <t>10.1016/j.atmosenv.2007.05.054</t>
  </si>
  <si>
    <t>WOS:000256845700010</t>
  </si>
  <si>
    <t>Brooks, S; Arimoto, R; Lindberg, S; Southworth, G</t>
  </si>
  <si>
    <t>Brooks, Steven; Arimoto, Richard; Lindberg, Steven; Southworth, George</t>
  </si>
  <si>
    <t>Antarctic polar plateau snow surface conversion of deposited oxidized mercury to gaseous elemental mercury with fractional long-term burial</t>
  </si>
  <si>
    <t>Antarctica; mercury; snow</t>
  </si>
  <si>
    <t>AEROSOLS</t>
  </si>
  <si>
    <t>The role of the vast Antarctic polar plateau in the global mercury cycle was previously relatively unknown. Here, for the first time, mercury concentrations in snow and air, combined with vertical flux measurements at the South Pole (November-December 2003 and November 2005) have provided considerable insight into the cycling of this element through the Antarctic environment. These insights include observations showing atmospheric oxidized mercury depositing to the snow pack, subsequent photoreduction, and emissions of gaseous elemental mercury from the snow pack. Oxidized mercury (e.g., reactive gaseous mercury and fine particulate mercury) showed high concentrations (100-1000 pg m(-3)) in the near-surface air, with these concentrations strongly correlated with vertical mixing rates and showing rapid surface deposition. This suggests that the troposphere over Antarctica is enhanced in oxidized mercury, with mercury cycling between elemental and oxidized states, and between the atmosphere and snow pack. Based on these limited measurements at South Pole, we estimate that the Antarctic polar plateau could sequester as much as 60 metric tons of Hg annually. These data also suggest that there could be a seasonal cycling of atmospheric mercury oxidation, deposition, and re-emission via photoreduction of 490 metric tons annually. This cycling is restricted to the annual sunlit period and peaks 3-4 weeks after solar maximum. To our knowledge, these provisional values represent the first estimates of the mercury balance and cycling for the extensive Antarctic polar plateau. (C) 2007 Elsevier Ltd. All rights reserved.</t>
  </si>
  <si>
    <t>[Brooks, Steven] NOAA, Atmospher Turbulence &amp; Diffus Div, Oak Ridge, TN USA; [Arimoto, Richard] New Mexico State Univ, Las Cruces, NM 88003 USA; [Lindberg, Steven] Oak Ridge Natl Lab, Div Environm Sci, Emeritus, TN USA; [Southworth, George] Oak Ridge Natl Lab, Div Environm Sci, Oak Ridge, TN USA</t>
  </si>
  <si>
    <t>National Oceanic Atmospheric Admin (NOAA) - USA; New Mexico State University; United States Department of Energy (DOE); Oak Ridge National Laboratory; United States Department of Energy (DOE); Oak Ridge National Laboratory</t>
  </si>
  <si>
    <t>Brooks, S (corresponding author), NOAA, Atmospher Turbulence &amp; Diffus Div, Oak Ridge, TN USA.</t>
  </si>
  <si>
    <t>Steve.brooks@noaa.gov</t>
  </si>
  <si>
    <t>10.1016/j.atmosenv.2007.05.029</t>
  </si>
  <si>
    <t>WOS:000256845700011</t>
  </si>
  <si>
    <t>Garnham, CP; Gilbert, JA; Hartman, CP; Campbell, RL; Laybourn-Parry, J; Davies, PL</t>
  </si>
  <si>
    <t>Garnham, Christopher P.; Gilbert, Jack A.; Hartman, Christopher P.; Campbell, Robert L.; Laybourn-Parry, Johanna; Davies, Peter L.</t>
  </si>
  <si>
    <t>A Ca2+-dependent bacterial antifreeze protein domain has a novel β-helical ice-binding fold</t>
  </si>
  <si>
    <t>BIOCHEMICAL JOURNAL</t>
  </si>
  <si>
    <t>Antarctic bacterium; antifreeze protein; calcium binding; beta-helix; Marinomonas primoryensis; repeats-in-toxin proteins (RTX proteins)</t>
  </si>
  <si>
    <t>IDENTIFICATION; RESIDUES; FACE</t>
  </si>
  <si>
    <t>AFPs (antifreeze proteins) are produced by many organisms that inhabit ice-laden environments. They facilitate survival at sub-zero temperatures by binding to, and inhibiting, the growth of ice crystals in solution. The Antarctic bacterium Marinomonas primoryensis produces an exceptionally large (&gt;1 MDa) hyperactive Ca2+-dependent AFP. We have cloned, expressed and characterized a 322-amino-acid region of the protein where the antifreeze activity is localized that shows similarity to the RTX (repeats-in-toxin) family of proteins. The recombinant protein requires Ca2+ for structure and activity, and it is capable of depressing the freezing point of a solution in excess of 2 degrees C at a concentration of 0.5 mg/ml, therefore classifying it as a hyperactive AFP. We have developed a homology-guided model of the antifreeze region based partly on the Ca2+-bound beta-roll from alkaline protease. The model has identified both a novel beta-helical fold and an ice-binding site. The interior of the beta-helix contains a single row of bound Ca2+ ions down one side of the structure and a hydrophobic core down the opposite side. The ice-binding surface consists of parallel repetitive arrays of threonine and aspartic acid/asparagine residues located down the Ca2+-bound side of the structure. The model was tested and validated by site-directed mutagenesis. It explains the Ca2+-dependency of the region, as well its hyperactive antifreeze activity. This is the first bacterial AFP to be structurally characterized and is one of only five hyperactive AFPs identified to date.</t>
  </si>
  <si>
    <t>[Garnham, Christopher P.; Gilbert, Jack A.; Hartman, Christopher P.; Campbell, Robert L.; Davies, Peter L.] Queens Univ, Prot Funct Discovery Grp, Kingston, ON K7L 3N6, Canada; [Garnham, Christopher P.; Gilbert, Jack A.; Hartman, Christopher P.; Campbell, Robert L.; Davies, Peter L.] Queens Univ, Dept Biochem, Kingston, ON K7L 3N6, Canada; [Laybourn-Parry, Johanna] Univ Keele, Inst Environm Phys Sci &amp; Appl Math, Keele ST5 5BG, Staffs, England</t>
  </si>
  <si>
    <t>Queens University - Canada; Queens University - Canada; Keele University</t>
  </si>
  <si>
    <t>Davies, PL (corresponding author), Queens Univ, Prot Funct Discovery Grp, Kingston, ON K7L 3N6, Canada.</t>
  </si>
  <si>
    <t>peter.davies@queensu.ca</t>
  </si>
  <si>
    <t>Gilbert, Jack/AAF-3270-2019</t>
  </si>
  <si>
    <t>Campbell, Robert/0000-0002-5473-5876</t>
  </si>
  <si>
    <t>NERC [pml010004, pml010001] Funding Source: UKRI; Natural Environment Research Council [pml010001, pml010004] Funding Source: researchfish</t>
  </si>
  <si>
    <t>PORTLAND PRESS LTD</t>
  </si>
  <si>
    <t>1ST FLR, 10 QUEEN STREET PLACE, LONDON, ENGLAND</t>
  </si>
  <si>
    <t>0264-6021</t>
  </si>
  <si>
    <t>1470-8728</t>
  </si>
  <si>
    <t>BIOCHEM J</t>
  </si>
  <si>
    <t>Biochem. J.</t>
  </si>
  <si>
    <t>APR 1</t>
  </si>
  <si>
    <t>10.1042/BJ20071372</t>
  </si>
  <si>
    <t>287HH</t>
  </si>
  <si>
    <t>WOS:000254907400019</t>
  </si>
  <si>
    <t>Podorozhko, EA; Lozinsky, VI; Ivshina, IB; Kuyukina, MS; Krivorutchko, AB; Philp, JC; Cunningham, CJ</t>
  </si>
  <si>
    <t>Podorozhko, Elena A.; Lozinsky, Vladimir I.; Ivshina, Irena B.; Kuyukina, Maria S.; Krivorutchko, Anastasiya B.; Philp, Jim C.; Cunningham, Colin J.</t>
  </si>
  <si>
    <t>Hydrophobised sawdust as a carrier for immobilisation of the hydrocarbon-oxidizing bacterium Rhodococcus ruber</t>
  </si>
  <si>
    <t>BIORESOURCE TECHNOLOGY</t>
  </si>
  <si>
    <t>hydrophobised sawdust; cell immobilisation; Rhodococcus ruber; biodegradation of hydrocarbons</t>
  </si>
  <si>
    <t>ANTARCTIC SOILS; OIL-SPILLS; BIOREMEDIATION; BIODEGRADATION; CELLS</t>
  </si>
  <si>
    <t>Pine sawdust treated by a series of hydrophobising agents (drying oil, organosilicon emulsion, n-hexadecane and paraffin) was examined as carrier for adsorption immobilisation of hydrocarbon-oxidizing bacterial cells Rhodococcus ruber. It was shown that hydrophobising agents based on drying oil turned out to be optimal (among the other modifiers examined) for the preparation of sawdust carriers suitable for the efficient immobilisation. The results obtained demonstrate promising possibilities in developing a wide range of available and cheap, biodegradable cellulose-containing carriers that possess varying surface hydrophobicity. (c) 2007 Elsevier Ltd. All rights reserved.</t>
  </si>
  <si>
    <t>[Podorozhko, Elena A.; Lozinsky, Vladimir I.] Russian Acad Sci, Inst Organoelement Cpds, Moscow 119991, Russia; [Ivshina, Irena B.; Kuyukina, Maria S.; Krivorutchko, Anastasiya B.] Russian Acad Sci, Ural Branch, Inst Ecol &amp; Genet Microorganisms, Perm 614081, Russia; [Philp, Jim C.] Napier Univ, Sch Life Sci, Edinburgh EH10 5DT, Midlothian, Scotland; [Cunningham, Colin J.] Univ Edinburgh, Contaminated Land Assessment &amp; Remediat Res Ctr, Edinburgh EH9 3JN, Midlothian, Scotland</t>
  </si>
  <si>
    <t>Russian Academy of Sciences; Nesmeyanov Institute of Organoelement Compounds; Russian Academy of Sciences; Perm Federal Research Center, Ural Branch, RAS; Institute of Ecology &amp; Genetics of Microorganisms, Ural Branch, RAS; Edinburgh Napier University; University of Edinburgh</t>
  </si>
  <si>
    <t>Lozinsky, VI (corresponding author), Russian Acad Sci, Inst Organoelement Cpds, 28 Vavilov St, Moscow 119991, Russia.</t>
  </si>
  <si>
    <t>loz@ineos.ac.ru</t>
  </si>
  <si>
    <t>Krivoruchko, Anastasiya/A-8368-2014; Kuyukina, Maria S/A-7333-2014; Kuyukina, Maria/AAT-6416-2020; Ivshina, Irina B/B-1333-2014</t>
  </si>
  <si>
    <t>Krivoruchko, Anastasiya/0000-0002-3788-217X; Kuyukina, Maria/0000-0002-9165-8363;</t>
  </si>
  <si>
    <t>0960-8524</t>
  </si>
  <si>
    <t>1873-2976</t>
  </si>
  <si>
    <t>BIORESOURCE TECHNOL</t>
  </si>
  <si>
    <t>Bioresour. Technol.</t>
  </si>
  <si>
    <t>10.1016/j.biortech.2007.03.024</t>
  </si>
  <si>
    <t>Agricultural Engineering; Biotechnology &amp; Applied Microbiology; Energy &amp; Fuels</t>
  </si>
  <si>
    <t>Agriculture; Biotechnology &amp; Applied Microbiology; Energy &amp; Fuels</t>
  </si>
  <si>
    <t>260NA</t>
  </si>
  <si>
    <t>WOS:000253015800066</t>
  </si>
  <si>
    <t>Unmanned aerial vehicles for British Antarctic Survey</t>
  </si>
  <si>
    <t>CLEAN-SOIL AIR WATER</t>
  </si>
  <si>
    <t>1863-0650</t>
  </si>
  <si>
    <t>1863-0669</t>
  </si>
  <si>
    <t>Clean-Soil Air Water</t>
  </si>
  <si>
    <t>Green &amp; Sustainable Science &amp; Technology; Environmental Sciences; Marine &amp; Freshwater Biology; Water Resources</t>
  </si>
  <si>
    <t>Science &amp; Technology - Other Topics; Environmental Sciences &amp; Ecology; Marine &amp; Freshwater Biology; Water Resources</t>
  </si>
  <si>
    <t>293OP</t>
  </si>
  <si>
    <t>WOS:000255344900013</t>
  </si>
  <si>
    <t>Langway, CC</t>
  </si>
  <si>
    <t>Langway, Chester C., Jr.</t>
  </si>
  <si>
    <t>The history of early polar ice cores</t>
  </si>
  <si>
    <t>natural history of polar ice sheets; glaciology; ice cores and ice core drilling; Greenland; Antarctica; cryosphere; metrology; paleoclimatology; paleoleviromentology; gradual and rapid climate change; atmospheric chemistry; stable and radioactive isotopes; volcanic and terrestrial dust; carbon dioxide; methane; air bubbles; physical and mechanical characteristics</t>
  </si>
  <si>
    <t>BYRD-STATION; EXTRATERRESTRIAL ORIGIN; PAST VOLCANISM; CAMP CENTURY; GREENLAND; RECORD; DYE-3; BE-10; SHEET; INCLUSIONS</t>
  </si>
  <si>
    <t>The scientific knowledge of the Greenland and Antarctic ice sheets, and the subsequently derived Earth history, has been greatly increased during the past 50 years. Much of the new information was obtained from various studies made on a relatively small number of deep (300-400 m) and several very deep (some over 3000 m) ice cores, recovered from the inland regions of both ice sheets, by different national and international research teams. The beginning, development, and progress of deep polar ice core drillings and core studies is reviewed from the incipient pit study made by Ernst Sorge in 1930, through the trying efforts of three separate international core drilling projects mounted around 1950. The paper continues with abroad overview of the early role and achievements made by two related US Army Corps of Engineers research laboratories: the Snow, Ice and Permafrost Research Establishment (SIPRE), and the Cold Regions Research and Engineering Laboratory (CRREL), from the early-1950's to the late-1980's. International partnerships of CRREL with the University of Copenhagen, Denmark (1966), and the University of Bern, Switzerland (1962), established the foundation of polar ice core science. (c) 2008 Elsevier B.V. All rights reserved.</t>
  </si>
  <si>
    <t>SUNY Buffalo, Buffalo, NY 14260 USA</t>
  </si>
  <si>
    <t>State University of New York (SUNY) System; State University of New York (SUNY) Buffalo</t>
  </si>
  <si>
    <t>Langway, CC (corresponding author), 25 Wendys Way, Harwich, MA 02645 USA.</t>
  </si>
  <si>
    <t>cclangway@aol.com</t>
  </si>
  <si>
    <t>10.1016/j.coldregions.2008.01.001</t>
  </si>
  <si>
    <t>291YX</t>
  </si>
  <si>
    <t>WOS:000255234600002</t>
  </si>
  <si>
    <t>Weale, J; Lever, JH</t>
  </si>
  <si>
    <t>Weale, Jason; Lever, James H.</t>
  </si>
  <si>
    <t>Innovations in over-snow cargo transport</t>
  </si>
  <si>
    <t>over-snow mobility; south pole traverse; cargo sleds; cargo delivery efficiency; heavy cargo traverse; polar logistics</t>
  </si>
  <si>
    <t>The United States Antarctic Program (USAP) is developing tractor-sled trains to haul heavy cargo 1600 km from McMurdo Station to South Pole Station. In 2003, the proof-of-concept fleet experienced poor mobility and numerous sled breakdowns when attempting to cross the Ross Ice Shelf Based on in-situ mobility tests, we recommended several expedient changes to the sled trains: tow the sleds outside of the tractor ruts, build larger skis with elliptical noses, and accommodate sled motions via compliant bushings. The USAP adopted these recommendations, the sleds performed well, and the fleet completed its first successful cargo delivery to South Pole in December 2005. For that season, we designed and the fleet successfully trialed a novel fuel sled consisting of a transportable fuel bladder strapped onto a sheet of durable, low-friction plastic. The resulting sled costs about one-quarter that of a steel tank sled, has about one-eighth of the tare weight and increases the expected fuel delivered per tractor almost nine times. The durability of these bladder sleds over rough terrain must yet be assessed, but their high fuel-delivery efficiency, compared with the present method of aircraft delivery, is worth pursuing. For example, a seven-tractor fleet completing three round trips per season could deliver fuel to South Pole equivalent to 92 LC-130 flights while consuming about one-quarter of the fuel required for aircraft delivery. Economic analysis shows that reduced aircraft costs could payoff the capital cost of a traverse fleet within a single season. (c) 2007 Elsevier B.V. All rights reserved.</t>
  </si>
  <si>
    <t>[Weale, Jason; Lever, James H.] USA, Cold Reg Res &amp; Engn Lab, Hanover, NH 03755 USA</t>
  </si>
  <si>
    <t>United States Department of Defense; United States Army; U.S. Army Corps of Engineers; U.S. Army Engineer Research &amp; Development Center (ERDC); Cold Regions Research &amp; Engineering Laboratory (CRREL)</t>
  </si>
  <si>
    <t>Weale, J (corresponding author), USA, Cold Reg Res &amp; Engn Lab, 72 Lyme Rd, Hanover, NH 03755 USA.</t>
  </si>
  <si>
    <t>jason.weale@us.army.mil</t>
  </si>
  <si>
    <t>10.1016/j.coldregions.2007.03.006</t>
  </si>
  <si>
    <t>WOS:000255234600007</t>
  </si>
  <si>
    <t>Phetteplace, G; Weale, J</t>
  </si>
  <si>
    <t>Phetteplace, Gary; Weale, Jason</t>
  </si>
  <si>
    <t>A model for freeze-thaw cycling of the South Pole Station exterior sheathing</t>
  </si>
  <si>
    <t>Antarctica; South Pole; solar flux; heat transfer; freeze-thaw cycling; moisture accumulation</t>
  </si>
  <si>
    <t>An infrared survey [Phetteplace, G. 2006. An Infrared Survey of the South Pole Station Modernization Project, Final Project Report to National Science Foundation, US Army Cold Regions Research and Engineering Laboratory, Hanover, NH.] of the new South Pole Elevated Station revealed evidence of excessive air exfiltration in some locations. Despite the relatively low indoor humidity normal in the South Pole Station, typically less than 10% relative humidity (RH), there was concern that excessive exfiltration could result in moisture accumulation within the building walls. While the accumulation and freezing of moisture at any point in the wall section could be problematic, what was felt to be of greater concern was the potential for repeated freeze-thaw cycling near the exterior oriented strand board (OSB) sheathing due to the significant diurnal temperature cycling of the siding during the Antarctic summers. The intense solar radiation conditions on vertical surfaces at the low Antarctic summer sun angles results in very high solar fluxes, and surface temperatures can rise well above freezing even in ambient temperatures that are -20 degrees C or lower. Typical building energy analysis methods are not suited to analysis of this problem for a variety of reasons. Thus we constructed a finite difference heat transfer model of the wall section with a full compliment of realistic boundary conditions for the South Pole application. The base case of the planned wall section and various potential retrofits were evaluated with the model using actual weather data for six summer seasons. The results show that under the worse case summer season the base case wall section would see approximately 44 freeze-thaw cycles. That number would be reduced to only 12 with the addition of either 25 mm of extruded polystyrene foam insulation, or 19 mm of plywood and 13 mm of the same insulation. Over a 25 year period these same additions to the exterior of the building would reduce the number of freeze-thaw cycles by over a factor of six. (c) Published by Elsevier B.V.</t>
  </si>
  <si>
    <t>[Phetteplace, Gary; Weale, Jason] USA, Cold Reg Res &amp; Engn Lab, Hanover, NH 03755 USA</t>
  </si>
  <si>
    <t>Phetteplace, G (corresponding author), USA, Cold Reg Res &amp; Engn Lab, 72 Lyme Rd, Hanover, NH 03755 USA.</t>
  </si>
  <si>
    <t>phet@valley.net</t>
  </si>
  <si>
    <t>10.1016/j.coldregions.2007.05.007</t>
  </si>
  <si>
    <t>WOS:000255234600013</t>
  </si>
  <si>
    <t>Pape, C; Teschke, M; Meyer, B</t>
  </si>
  <si>
    <t>Pape, Carsten; Teschke, Mathias; Meyer, Bettina</t>
  </si>
  <si>
    <t>Melatonin and its possible role in mediating seasonal metabolic changes of Antarctic krill, Euphausia superba</t>
  </si>
  <si>
    <t>COMPARATIVE BIOCHEMISTRY AND PHYSIOLOGY A-MOLECULAR &amp; INTEGRATIVE PHYSIOLOGY</t>
  </si>
  <si>
    <t>Antarctic krill; ELISA; HPLC; melatonin; metabolic reduction; photoperiod; seasonality</t>
  </si>
  <si>
    <t>N-ACETYLTRANSFERASE ACTIVITY; OPTIC LOBE; CLOCK; QUANTIFICATION; CRUSTACEA; SYSTEM; ICE</t>
  </si>
  <si>
    <t>Melatonin, the chief secretory product of the vertebrate pineal gland is suspected to be a ubiquitous molecule principally involved in the transduction of photoperiodic information. Besides vertebrates, melatonin has been detected throughout phylogeny in numerous non-vertebrate taxa. In the present study, the occurrence of melatonin in Antarctic krill Euphausia superba and its possible role in mediating seasonal metabolic changes was evaluated. Melatonin was quantified by enzyme linked immunosorbent assay (ELISA) in high performance liquid chromatography (HPLC) purified extracts of eyestalks and hemolymph of krill sampled in the Lazarev Sea during the Antarctic winter and summer. In addition, oxygen uptake rates and the activities of the metabolic enzyme malate dehydrogenase (MDH) were recorded to assess the metabolic status of krill. Validation of melatonin measurements was carried out on the basis of three different extraction methods with parallel determination of melatonin by ELISA in crude extracts and in HPLC purified extracts, and after derivatization of melatonin under alkaline conditions in the presence of hydrogen peroxide. A significantly higher respiration rate and MDH activity was found in summer krill than in winter krill indicating that krill was in a state of reduced metabolic activity during winter. However, neither during winter nor during summer there were detectable melatonin concentrations in the visual system or hemolymph of krill. Based on these results, we question a mediating role of melatonin in the control of seasonal metabolic changes in Antarctic krill. (C) 2008 Elsevier Inc. All rights reserved.</t>
  </si>
  <si>
    <t>[Pape, Carsten; Teschke, Mathias; Meyer, Bettina] Alfred Wegener Inst Polar &amp; Marine Res, Sci Div Biol Oceanog, D-27570 Bremerhaven, Germany</t>
  </si>
  <si>
    <t>Pape, C (corresponding author), Alfred Wegener Inst Polar &amp; Marine Res, Sci Div Biol Oceanog, Am Handelshafen 12, D-27570 Bremerhaven, Germany.</t>
  </si>
  <si>
    <t>Carsten.Pape@awi.de</t>
  </si>
  <si>
    <t>Meyer, Bettina/ABB-5311-2020</t>
  </si>
  <si>
    <t>Meyer, Bettina/0000-0001-6804-9896</t>
  </si>
  <si>
    <t>1095-6433</t>
  </si>
  <si>
    <t>1531-4332</t>
  </si>
  <si>
    <t>COMP BIOCHEM PHYS A</t>
  </si>
  <si>
    <t>Comp. Biochem. Physiol. A-Mol. Integr. Physiol.</t>
  </si>
  <si>
    <t>10.1016/j.cbpa.2008.02.001</t>
  </si>
  <si>
    <t>Biochemistry &amp; Molecular Biology; Physiology; Zoology</t>
  </si>
  <si>
    <t>294CU</t>
  </si>
  <si>
    <t>WOS:000255382500011</t>
  </si>
  <si>
    <t>Southwell, C; Paxton, CGM; Borchers, D; Boveng, P; Rogers, T; de la Mare, WK</t>
  </si>
  <si>
    <t>Southwell, Colin; Paxton, Charles G. M.; Borchers, David; Boveng, Peter; Rogers, Tracey; de la Mare, William K.</t>
  </si>
  <si>
    <t>Uncommon or cryptic? Challenges in estimating leopard seal abundance by conventional but state-of-the-art methods</t>
  </si>
  <si>
    <t>abundance; distribution; East Antarctica; haul-out; model-based inference; leopard seal; pack-ice</t>
  </si>
  <si>
    <t>HYDRURGA-LEPTONYX; WINTER DISPERSAL; PRYDZ BAY; PACK-ICE; BEHAVIOR</t>
  </si>
  <si>
    <t>The method traditionally used to estimate pack-ice seal abundance employs sighting surveys from ships or ail-craft to estimate the number of seals hauled out oil the ice, combined with studies of haul-out behaviour to estimate the proportion of time spent on the ice. Application of this approach has been improved in recent times by developments in survey methodology and satellite technology that theoretically allow biases in the estimation of hauled-out abundance and haul-out behaviour to be accounted for that previously could not be addressed. A survey using these conventional but state-of-the-art methods was undertaken in the summer of 1999/2000 off east Antarctica between longitudes 64 degrees E and 150 degrees E to estimate the abundance of leopard (Hydrurga leptonyx) and other pack-ice seal species. Because they are either uncommon or very cryptic, very few leopard seals were encountered despite a large survey effort. This presented challenges in both application of the methods and analysis of the data. Abundance estimates were derived using a number of plausible predictive models. The model considered as the most reliable returned best estimates of 7300 and 12,100 for definite and definite plus probable leopard seal sightings, respectively, with 95%, confidence intervals of 3700-14,500 and 7100-23,400. These estimates are likely to be negatively biased and should be treated as minimum estimates only. (c) 2008 Elsevier Ltd. All rights reserved.</t>
  </si>
  <si>
    <t>[Southwell, Colin; de la Mare, William K.] Australian Antarctic Div, Dept Environm Water Heritage &amp; Arts, Kingston, Tas 7050, Australia; [Paxton, Charles G. M.; Borchers, David] Univ St Andrews, Sch Math &amp; Stat, St Andrews KY16 9SS, Fife, Scotland; [Boveng, Peter] NOAA Fisheries, Alaska Fisheries Sci Ctr, Seattle, WA 98115 USA; [Rogers, Tracey] Univ Sydney, Australian Marine Mammal Res Ctr, Mosman, NSW 2088, Australia; [de la Mare, William K.] CSIRO Marine &amp; Atmospher Res, Cleveland Labs, Cleveland, Qld 4163, Australia</t>
  </si>
  <si>
    <t>Australian Antarctic Division; University of St Andrews; National Oceanic Atmospheric Admin (NOAA) - USA; University of Sydney; Commonwealth Scientific &amp; Industrial Research Organisation (CSIRO)</t>
  </si>
  <si>
    <t>Southwell, C (corresponding author), Australian Antarctic Div, Dept Environm Water Heritage &amp; Arts, Channel Highway, Kingston, Tas 7050, Australia.</t>
  </si>
  <si>
    <t>, David/X-5730-2019; Rogers, Tracey L/C-3419-2008</t>
  </si>
  <si>
    <t>Paxton, Charles/0000-0002-9350-3197; Borchers, David/0000-0002-3944-0754; Rogers, Tracey/0000-0002-7141-4177</t>
  </si>
  <si>
    <t>1879-0119</t>
  </si>
  <si>
    <t>10.1016/j.dsr.2008.01.005</t>
  </si>
  <si>
    <t>299CV</t>
  </si>
  <si>
    <t>WOS:000255734300010</t>
  </si>
  <si>
    <t>Anderson, JB; Fretwell, UO</t>
  </si>
  <si>
    <t>Anderson, John B.; Fretwell, Usa Oakes</t>
  </si>
  <si>
    <t>Geomorphology of the onset area of a paleo-ice stream, Marguerite Bay, Antarctic Peninsula</t>
  </si>
  <si>
    <t>EARTH SURFACE PROCESSES AND LANDFORMS</t>
  </si>
  <si>
    <t>ice streams; geomorphology; drainage</t>
  </si>
  <si>
    <t>PINE ISLAND BAY; CONTINENTAL-SHELF; HOLOCENE RETREAT; LATE PLEISTOCENE; ROSS SEA; SHEET; EXTENT; FEATURES; BENEATH; CHANNEL</t>
  </si>
  <si>
    <t>Geomorphic features indicate that both glacial and melt-water erosion characterize the onset area of the ancestral Marguerite Ice Stream. The large size of these features indicates that they formed over repeated glacial cycles, most recently during the Last Glacial Maximum. Ice drainage within the bay and on the inner continental shelf was strongly influenced by tectonic fabric. Deep, isolated basins surrounded by rugged bedrock bathymetry characterize the innermost part of the bay. Drumlins and other streamlined features occur in the floors of these basins at depths of up to 900 m. The outer bay has three large interconnected basins. Drumlins and megaflutings within these basins indicate ice was grounded at water depths up to 1000 m. The orientations of these features show convergence of drainage from the northeast, east and south into the Marguerite paleo-ice stream. On the inner continental shelf, the ice converged into a single, wide trough dominated by mega-scale glacial lineations. This transition in geomorphic features from drumlins and megaflutings to mega-scale glacial lineations occurs at the location on the continental shelf where sedimentary strata blanket bedrock, and marks a zone of acceleration of the ice stream. The glacially sculptured geomorphic features within Marguerite Bay co-exist with anastomosing, radial and relatively straight channels, which become increasingly focused in a seaward direction. This implies that a well organized subglacial drainage system existed within the bay at some point in the past. Copyright (C) 2008 John Wiley &amp; Sons, Ltd.</t>
  </si>
  <si>
    <t>[Anderson, John B.; Fretwell, Usa Oakes] Rice Univ, Dept Earth Sci, Houston, TX 77005 USA</t>
  </si>
  <si>
    <t>Rice University</t>
  </si>
  <si>
    <t>Anderson, JB (corresponding author), Rice Univ, Dept Earth Sci, Houston, TX 77005 USA.</t>
  </si>
  <si>
    <t>johna@rice.edu</t>
  </si>
  <si>
    <t>Anderson, John/B-1011-2012</t>
  </si>
  <si>
    <t>0197-9337</t>
  </si>
  <si>
    <t>1096-9837</t>
  </si>
  <si>
    <t>EARTH SURF PROC LAND</t>
  </si>
  <si>
    <t>Earth Surf. Process. Landf.</t>
  </si>
  <si>
    <t>10.1002/esp.1662</t>
  </si>
  <si>
    <t>289UX</t>
  </si>
  <si>
    <t>WOS:000255080500002</t>
  </si>
  <si>
    <t>Cofaigh, CO; Dowdeswel, JA; Evans, J; Larter, RD</t>
  </si>
  <si>
    <t>Cofaigh, Colm O.; Dowdeswel, Julian A.; Evans, Jeffrey; Larter, Rob D.</t>
  </si>
  <si>
    <t>Geological constraints on Antarctic palaeo-ice-stream retreat</t>
  </si>
  <si>
    <t>ice streams; deglaciation; geomorphology; sedimentology; marine geophysics; Antarctica</t>
  </si>
  <si>
    <t>PLEISTOCENE-HOLOCENE RETREAT; LAST GLACIAL MAXIMUM; ROSS SEA; GROUNDING-LINE; SHEET SYSTEM; PENINSULA; SHELF; SEDIMENTATION; HISTORY; BENEATH</t>
  </si>
  <si>
    <t>Submarine landforms preserved in bathymetric troughs on the Antarctic continental shelf show that the style of ice stream retreat across the shelf following the last glacial maximum varied between different troughs. Three styles of retreat are inferred from the geological evidence: rapid, episodic and slow. Rapid retreat by ice stream floatation and calving is recorded by the preservation of a landform assemblage of unmodified streamlined subglacial bedforms including mega-scale glacial lineations (MSGLs) that record streaming flow along these troughs. These elongate bedforms are not overprinted by recessional glacial landforms formed transverse to ice flow such as moraines or grounding-zone wedges, and overlying deglacial sediments are thin. A second type of landform assemblage consists of MSGLs overprinted or interrupted by transverse grounding-zone wedges. This assemblage implies episodic retreat between successive grounding-zone positions. The third type of landform assemblage is that of numerous, closely spaced, recessional moraines and intermittent grounding-zone wedges that overlie and interrupt MSGLs. This assemblage records the slow retreat of grounded ice across the shelf. Variation in the style of ice stream retreat between the different bathymetric troughs indicates that Antarctic palaeo-ice-streams did not respond uniformly to external forcing at the end of the last glacial cycle. Rather, their diachronous retreat reflects the dominance of local controls in the form of bathymetry and drainage basin size. More broadly, these data show that retreat of marine-based ice sheets in areas of reverse bed slope is not necessarily catastrophic, and they provide important constraints for numerical models that attempt to predict the dynamics of large polar ice sheets. Copyright (C) 2008 John Wiley &amp; Sons, Ltd.</t>
  </si>
  <si>
    <t>[Cofaigh, Colm O.] Univ Durham, Dept Geog, Durham DH1 3LE, England; [Dowdeswel, Julian A.] Univ Cambridge, Scott Polar Res Inst, Cambridge CB2 1ER, England; [Evans, Jeffrey] Univ Loughborough, Dept Geog, Loughborough, Leics, England; [Larter, Rob D.] British Antarctic Survey, Cambridge CB3 0ET, England</t>
  </si>
  <si>
    <t>Durham University; University of Cambridge; Loughborough University; UK Research &amp; Innovation (UKRI); Natural Environment Research Council (NERC); NERC British Antarctic Survey</t>
  </si>
  <si>
    <t>Cofaigh, CO (corresponding author), Univ Durham, Dept Geog, Durham DH1 3LE, England.</t>
  </si>
  <si>
    <t>Colm.o'cofaigh@durham.ac.uk</t>
  </si>
  <si>
    <t>Evans, Jeffrey/F-5548-2010</t>
  </si>
  <si>
    <t>Dowdeswell, Julian/0000-0003-1369-9482; Larter, Robert/0000-0002-8414-7389</t>
  </si>
  <si>
    <t>Natural Environment Research Council [NER/T/S/2000/00986, NER/G/S/2002/00009, NE/B501171/1] Funding Source: researchfish</t>
  </si>
  <si>
    <t>10.1002/esp.1669</t>
  </si>
  <si>
    <t>WOS:000255080500003</t>
  </si>
  <si>
    <t>Hindmarsh, RCA; Stokes, CR</t>
  </si>
  <si>
    <t>Hindmarsh, Richard C. A.; Stokes, Chris R.</t>
  </si>
  <si>
    <t>Formation mechanisms for ice-stream lateral shear margin moraines</t>
  </si>
  <si>
    <t>ice stream; geomorphology; deglaciation; lateral shear moraine; till</t>
  </si>
  <si>
    <t>ANTARCTIC ICE; SHEET; FLOW; DEFORMATION; ORIGIN; REFLECTIVITY; DYNAMICS; GLACIERS; RETREAT; SECTOR</t>
  </si>
  <si>
    <t>The lateral shear margins of palaeo-ice stream beds are occasionally marked by large curvilinear moraines, but little work has addressed bow they might form. In this paper we review the characteristics of 'lateral shear margin moraines' and present two quantitative models for their formation: (i) differential erosion rates related to lateral variations in the stream velocity and (ii) lateral incursion from inter-stream ridges after the thinner stream retreats, where the shear margin moraine is consequently just a terminal moraine of the inter-stream ridge. Other possible mechanisms of formation are addressed qualitatively. Both of our quantitative theories are, in principle, feasible, but the incursion model is less plausible and inconsistent with observations. The differential erosion model can predict moraines tens of metres thick and several kilometres wide, which can be formed in a thousand years. The width of the moraine depends on the competition between a term that varies across the ice stream because it is dependent on ice velocity and that always causes erosion, and a term related to the local accumulation rate, which causes erosion if is positive and deposition if negative. These terms combine to create the possibility of deposition at the shear margins of ice streams in ablation areas. The width of the moraine has a tendency to increase with the width of the stream. The conditions that permit shear margin moraines to form are quite constrained: too much ablation and deposition occurs everywhere rather than just near the lateral margins of the ice streams; too little ablation and there is erosion everywhere. This is consistent with the infrequent observations of lateral shear margin moraines. Copyright (C) 2008 John Wiley &amp; Sons, Ltd.</t>
  </si>
  <si>
    <t>[Hindmarsh, Richard C. A.] British Antarctic Survey, Cambridge CB3 OET, England; [Stokes, Chris R.] Univ Durham, Dept Geog, Durham, England</t>
  </si>
  <si>
    <t>UK Research &amp; Innovation (UKRI); Natural Environment Research Council (NERC); NERC British Antarctic Survey; Durham University</t>
  </si>
  <si>
    <t>Hindmarsh, RCA (corresponding author), British Antarctic Survey, High Cross,Madingley Rd, Cambridge CB3 OET, England.</t>
  </si>
  <si>
    <t>rcah@bas.ac.uk</t>
  </si>
  <si>
    <t>Hindmarsh, Richard/N-1195-2019; Stokes, Chris/A-1957-2011</t>
  </si>
  <si>
    <t>Hindmarsh, Richard/0000-0003-1633-2416; Stokes, Chris/0000-0003-3355-1573</t>
  </si>
  <si>
    <t>Natural Environment Research Council [NE/D011175/1] Funding Source: researchfish; NERC [NE/D011175/1] Funding Source: UKRI</t>
  </si>
  <si>
    <t>10.1002/esp.1665</t>
  </si>
  <si>
    <t>WOS:000255080500009</t>
  </si>
  <si>
    <t>Siegert, MJ</t>
  </si>
  <si>
    <t>Siegert, Martin J.</t>
  </si>
  <si>
    <t>Antarctic subglacial topography and ice-sheet evolution</t>
  </si>
  <si>
    <t>cenozoic; landscape evolution; Antarctica; glaciation</t>
  </si>
  <si>
    <t>LAST GLACIAL MAXIMUM; TRANSANTARCTIC MOUNTAINS; BED ROUGHNESS; LAKE VOSTOK; CLIMATE; HISTORY; RETREAT; BENEATH; LAND; GREENLAND</t>
  </si>
  <si>
    <t>Although ice-sheet flow and form in Antarctica is controlled to a large degree by topography, the continent's landscape evolution and therefore its influence on ice-sheet development is poorly understood. The oscillation of ice sheets throughout the last 34 million years will have affected topography through glacial erosion and deposition. Consequently, the macro bedforms on which the modern ice sheet flows originate from previous, and probably dissimilar, ice sheets. This problem is both obvious and difficult to resolve given the lack of bed exposure and paucity of data concerning sedimentary deposits. Nonetheless, several attempts have been made, using numerical modelling, to comprehend the interrelation between topography and ice sheets in Antarctica. In this review, the subglacial topography of Antarctica is inspected with reference to both contemporary ice-flow processes and ice-sheet history. Examples of how landscape evolution have been estimated are discussed, which provides a means by which the continental scale link between topography and ice-sheet development can be investigated in future. Copyright (C) 2008 John Wiley &amp; Sons, Ltd.</t>
  </si>
  <si>
    <t>Univ Edinburgh, Grant Inst, Sch Geosci, Edinburgh EH9 3JW, Midlothian, Scotland</t>
  </si>
  <si>
    <t>University of Edinburgh</t>
  </si>
  <si>
    <t>Siegert, MJ (corresponding author), Univ Edinburgh, Grant Inst, Sch Geosci, Edinburgh EH9 3JW, Midlothian, Scotland.</t>
  </si>
  <si>
    <t>m.j.siegert@ed.ac.uk</t>
  </si>
  <si>
    <t>Siegert, Martin/M-9939-2019; Siegert, Martin J/A-3826-2008</t>
  </si>
  <si>
    <t>Siegert, Martin/0000-0002-0090-4806; Siegert, Martin J/0000-0002-0090-4806</t>
  </si>
  <si>
    <t>Natural Environment Research Council [NE/F016646/1] Funding Source: researchfish; NERC [NE/F016646/1] Funding Source: UKRI</t>
  </si>
  <si>
    <t>10.1002/esp.1670</t>
  </si>
  <si>
    <t>WOS:000255080500011</t>
  </si>
  <si>
    <t>de Grosbois, AM</t>
  </si>
  <si>
    <t>de Grosbois, Anne Marie</t>
  </si>
  <si>
    <t>Ice cores from the western Antarctic Peninsula</t>
  </si>
  <si>
    <t>ENVIRONMENTAL GEOLOGY</t>
  </si>
  <si>
    <t>0943-0105</t>
  </si>
  <si>
    <t>ENVIRON GEOL</t>
  </si>
  <si>
    <t>Environ. Geol.</t>
  </si>
  <si>
    <t>Environmental Sciences; Geosciences, Multidisciplinary; Water Resources</t>
  </si>
  <si>
    <t>Environmental Sciences &amp; Ecology; Geology; Water Resources</t>
  </si>
  <si>
    <t>284YC</t>
  </si>
  <si>
    <t>WOS:000254743200022</t>
  </si>
  <si>
    <t>Smith, SM; Gardner, K; Locke, J; Zwart, SR</t>
  </si>
  <si>
    <t>Smith, Scott M.; Gardner, Keri; Locke, James; Zwart, Sara R.</t>
  </si>
  <si>
    <t>Efficacy of vitamin D supplementation in an Antarctic ground analog of space flight</t>
  </si>
  <si>
    <t>FASEB JOURNAL</t>
  </si>
  <si>
    <t>[Smith, Scott M.; Locke, James] NASA, Lyndon B Johnson Space Ctr, Houston, TX 77058 USA; [Gardner, Keri] Univ Calif Los Angeles, Los Angeles, CA USA; [Zwart, Sara R.] Univ Space Res Assoc, Houston, TX USA</t>
  </si>
  <si>
    <t>National Aeronautics &amp; Space Administration (NASA); NASA Johnson Space Center; University of California System; University of California Los Angeles; Universities Space Research Association (USRA)</t>
  </si>
  <si>
    <t>FEDERATION AMER SOC EXP BIOL</t>
  </si>
  <si>
    <t>9650 ROCKVILLE PIKE, BETHESDA, MD 20814-3998 USA</t>
  </si>
  <si>
    <t>0892-6638</t>
  </si>
  <si>
    <t>FASEB J</t>
  </si>
  <si>
    <t>Faseb J.</t>
  </si>
  <si>
    <t>Biochemistry &amp; Molecular Biology; Biology; Cell Biology</t>
  </si>
  <si>
    <t>Biochemistry &amp; Molecular Biology; Life Sciences &amp; Biomedicine - Other Topics; Cell Biology</t>
  </si>
  <si>
    <t>V25GZ</t>
  </si>
  <si>
    <t>WOS:000208467808715</t>
  </si>
  <si>
    <t>Satapathy, AK; Pavankumar, TL; Bhattacharjya, S; Sankaranarayanan, R; Ray, MK</t>
  </si>
  <si>
    <t>Satapathy, Ajit K.; Pavankumar, Theetha L.; Bhattacharjya, Sumana; Sankaranarayanan, Rajan; Ray, Malay K.</t>
  </si>
  <si>
    <t>ATPase activity of RecD is essential for growth of the Antarctic Pseudomonas syringae Lz4W at low temperature</t>
  </si>
  <si>
    <t>FEBS JOURNAL</t>
  </si>
  <si>
    <t>cold adaptation; pseudomonas syringae; RecBCD enzyme; RecD ATPase; RecD helicase</t>
  </si>
  <si>
    <t>DNA HELICASE-II; SINGLE-STRANDED-DNA; ESCHERICHIA-COLI; RECBCD ENZYME; BINDING ACTIVITIES; CRYSTAL-STRUCTURES; EXORIBONUCLEASE-R; MOTIF-II; PROTEIN; RECOMBINATION</t>
  </si>
  <si>
    <t>RecD is essential for growth at low temperature in the Antarctic psychrotrophic bacterium Pseudomonas syringae Lz4W. To examine the essential nature of its activity, we analyzed wild-type and mutant RecD proteins with substitutions of important residues in each of the seven conserved helicase motifs. The wild-type RecD displayed DNA-dependent ATPase and helicase activity in vitro, with the ability to unwind short DNA duplexes containing only 5' overhangs or forked ends. Five of the mutant proteins, K229Q (in motif I), D323N and E324Q (in motif II), Q354E (in motif III) and R660A (in motif VI) completely lost both ATPase and helicase activities. Three other mutants, T259A in motif Ia, R419A in motif IV and E633Q in motif V exhibited various degrees of reduction in ATPase activity, but had no helicase activity. While all RecD proteins had DNA-binding activity, the mutants of motifs IV and V displayed reduced binding, and the motif II mutant showed a higher degree of binding to ssDNA. Significantly, only RecD variants with in vitro ATPase activity could complement the cold-sensitive growth of a recD-inactivated strain of P. syringae at 4 degrees C. These results suggest that the requirement for RecD at lower temperatures lies in its ATP-hydrolyzing activity.</t>
  </si>
  <si>
    <t>[Satapathy, Ajit K.; Pavankumar, Theetha L.; Bhattacharjya, Sumana; Sankaranarayanan, Rajan; Ray, Malay K.] Ctr Cellular &amp; Mol Biol, Hyderabad 500007, Andhra Pradesh, India</t>
  </si>
  <si>
    <t>Council of Scientific &amp; Industrial Research (CSIR) - India; CSIR - Centre for Cellular &amp; Molecular Biology (CCMB)</t>
  </si>
  <si>
    <t>Ray, MK (corresponding author), Ctr Cellular &amp; Mol Biol, Uppal Rd, Hyderabad 500007, Andhra Pradesh, India.</t>
  </si>
  <si>
    <t>malay@ccmb.res.in</t>
  </si>
  <si>
    <t>Sankaranarayanan, Rajan/AAI-9295-2020; Pavankumar, Theetha L/R-6118-2017</t>
  </si>
  <si>
    <t>Sankaranarayanan, Rajan/0000-0003-4524-9953; Pavankumar, Theetha L/0000-0003-1845-9592</t>
  </si>
  <si>
    <t>1742-464X</t>
  </si>
  <si>
    <t>1742-4658</t>
  </si>
  <si>
    <t>FEBS J</t>
  </si>
  <si>
    <t>FEBS J.</t>
  </si>
  <si>
    <t>10.1111/j.1742-4658.2008.06342.x</t>
  </si>
  <si>
    <t>281LQ</t>
  </si>
  <si>
    <t>WOS:000254499500022</t>
  </si>
  <si>
    <t>Welch, DJ; Mapstone, BD; Begg, GA</t>
  </si>
  <si>
    <t>Welch, David J.; Mapstone, Bruce D.; Begg, Gavin A.</t>
  </si>
  <si>
    <t>Spatial and temporal variation and effects of changes in management in discard rates from the commercial reef line fishery of the Great Barrier Reef, Australia</t>
  </si>
  <si>
    <t>discards; coral trout; Plectropomus; red throat emperor; Lethrinus miniatus; coral reef fishery; line fishing</t>
  </si>
  <si>
    <t>SNAPPER PAGRUS-AURATUS; CORAL TROUT; INDIVIDUAL QUOTA; NEW-ZEALAND; MORTALITY; SURVIVAL; MODEL; POPULATIONS; SERRANIDAE; IRELAND</t>
  </si>
  <si>
    <t>Discarding in commercially exploited fisheries has received considerable attention in the last decade, though only more recently in Australia. The Reef Line fishery (RLF) of the Great Barrier Reef (GBR) in Australia is a large-scale multi-sector, multi-species, highly regulated hook and line fishery with the potential for high levels of discarding. We used a range of data sources to estimate discard rates and discard quantities for the two main target groups of the RLF, the coral trout, Plectropomus spp, and the red throat emperor, Lethrinus miniatus, and investigated possible effects on discarding of recent changes in management of the fishery. Fleet-wide estimates of total annual quantities discarded from 1989 to 2003 were 292-622 t and 33-95 t for coral trout and red throat emperor, respectively. Hypothetical scenarios of high-grading after the introduction of a total allowable commercial catch for coral trout resulted in increases in discard quantities up to 3895 t, while no high-grading still meant 421 t were discarded. Increasing the minimum size limit of red throat emperor from 35 to 38 cm also increased discards to an estimated 103 t. We provide spatially and temporally explicit estimates of discarding for the two most important species in the GBR RLF of Australia to demonstrate the importance of accounting for regional variation in quantification of discarding. Effects of management changes on discarding are also highlighted. This study provides a template for exploring discarding levels for other species in the RLF and elsewhere. Crown Copyright (C) 2007 Published by Elsevier B.V. All rights reserved.</t>
  </si>
  <si>
    <t>[Welch, David J.] James Cook Univ N Queensland, Queensland Dept Primary Ind &amp; Fisheries, Fishing &amp; Fisheries Res Ctr, Sch Earth &amp; Environm Sci, Townsville, Qld 4811, Australia; [Welch, David J.] Queensland Dept Primary Ind &amp; Fisheries, Oonoonba, Qld 4811, Australia; [Mapstone, Bruce D.] Univ Tasmania, Antarctic Climate &amp; Ecosyst CRC, Hobart, Tas 7001, Australia; [Begg, Gavin A.] Australian Fisheries Management Authority, Canberra, ACT 2610, Australia</t>
  </si>
  <si>
    <t>James Cook University; Queensland Department of Agriculture &amp; Fisheries; Queensland Department of Agriculture &amp; Fisheries; University of Tasmania</t>
  </si>
  <si>
    <t>Welch, DJ (corresponding author), James Cook Univ N Queensland, Queensland Dept Primary Ind &amp; Fisheries, Fishing &amp; Fisheries Res Ctr, Sch Earth &amp; Environm Sci, Townsville, Qld 4811, Australia.</t>
  </si>
  <si>
    <t>david.welch@jcu.edu.au</t>
  </si>
  <si>
    <t>1-3</t>
  </si>
  <si>
    <t>10.1016/j.fishres.2007.10.023</t>
  </si>
  <si>
    <t>292LG</t>
  </si>
  <si>
    <t>WOS:000255266900028</t>
  </si>
  <si>
    <t>Lee, K; Mukai, T; Lee, D; Iida, K</t>
  </si>
  <si>
    <t>Lee, Kyounghoon; Mukai, Tohru; Lee, Daejae; Iida, Kohji</t>
  </si>
  <si>
    <t>Verification of mean volume backscattering strength obtained from acoustic Doppler current profiler by using sound scattering layer</t>
  </si>
  <si>
    <t>FISHERIES SCIENCE</t>
  </si>
  <si>
    <t>ADCP; DWBA theoretical backscattering model; euphausiids; mean volume backscattering strength; scientific echosounder; verification</t>
  </si>
  <si>
    <t>ANTARCTIC KRILL; ZOOPLANKTON; MIGRATION; FISH; KHZ</t>
  </si>
  <si>
    <t>Acoustic Doppler current profilers (ADCPs) have recently been used to estimate the dynamic characteristics and biomass of sound scattering layers (SSLs) or swimming speed of fish schools and to analyze SSL spatial distribution or various behavior patterns. This paper shows that it is necessary to verify mean volume backscattering strength (MVBS, dB) values acquired from each beam for quantitative analysis of the spatial distribution or the biomass estimates of such specific targets as SSL or a fish school when using an ADCP. In this study, the SSL was selected to be a homogeneous density layer over a large area and two methods were used to verify the MVBS values from each beam of the ADCP. First, a mutual comparison among four beams was conducted after calculating MVBS from the measured echo intensity. Second, the MVBS values were verified using comparison between the calculated MVBS from the 153.6 kHz ADCP and MVBS from three frequencies of a well-calibrated scientific echosounder. Moreover, the dominant scatterers (euphausiids) were collected by a framed midwater trawl. From these samples, biological data were used to identify the different frequency characteristics between two systems, using a distorted-wave Born approximation (DWBA) theoretical backscattering model in order to assess the averaged target strength and target strength TS differences for the three frequencies.</t>
  </si>
  <si>
    <t>[Lee, Kyounghoon] Natl Fisheries Res &amp; Dev Inst, Fisheries Resources Dept, Fisheries Engn Team, Pusan 602092, South Korea; [Mukai, Tohru; Iida, Kohji] Hokkaido Univ, Grad Sch Fisheries Sci, Lab Marine Environm &amp; Resource Sensing, Hakodate, Hokkaido 0418611, Japan; [Lee, Daejae] Pukyong Natl Univ, Dept Marine Prod Syst Engn, Pusan 608737, South Korea</t>
  </si>
  <si>
    <t>Hokkaido University; Pukyong National University</t>
  </si>
  <si>
    <t>Lee, K (corresponding author), Natl Fisheries Res &amp; Dev Inst, Fisheries Resources Dept, Fisheries Engn Team, Pusan 602092, South Korea.</t>
  </si>
  <si>
    <t>khlee71@nfrdi.re.kr</t>
  </si>
  <si>
    <t>Mukai, Tohru/F-9143-2012</t>
  </si>
  <si>
    <t>SPRINGER TOKYO</t>
  </si>
  <si>
    <t>1-11-11 KUDAN-KITA, CHIYODA-KU, TOKYO, 102-0073, JAPAN</t>
  </si>
  <si>
    <t>0919-9268</t>
  </si>
  <si>
    <t>FISHERIES SCI</t>
  </si>
  <si>
    <t>Fish. Sci.</t>
  </si>
  <si>
    <t>10.1111/j.1444-2906.2008.01516.x</t>
  </si>
  <si>
    <t>282IG</t>
  </si>
  <si>
    <t>WOS:000254560500001</t>
  </si>
  <si>
    <t>Rozzi, R; Armesto, JJ; Goffinet, B; Buck, W; Massardo, F; Silander, J; Arroyo, MT; Russell, S; Anderson, CB; Cavieres, LA; Callicott, JB</t>
  </si>
  <si>
    <t>Rozzi, Ricardo; Armesto, Juan J.; Goffinet, Bernard; Buck, William; Massardo, Francisca; Silander, John; Arroyo, Mary T. K.; Russell, Shaun; Anderson, Christopher B.; Cavieres, Lohengrin A.; Callicott, J. Baird</t>
  </si>
  <si>
    <t>Changing lenses to assess biodiversity: patterns of species richness in sub-Antarctic plants and implications for global conservation</t>
  </si>
  <si>
    <t>FRONTIERS IN ECOLOGY AND THE ENVIRONMENT</t>
  </si>
  <si>
    <t>Taxonomic groups and ecoregions shape the lenses through which biodiversity is assessed and conserved. A historical bias toward vertebrates and vascular plants in the northern hemisphere underpins how global patterns of biodiversity in terrestrial ecosystems are perceived. Here, we focus on the hitherto overlooked non-vascular flora (liverworts and mosses) in the remote sub-Antarctic Magellanic ecoregion of southwestern South America. We report that: (1) this ecoregion hosts outstanding non-vascular floristic richness, with &gt; 5% of the world's bryophytes on &lt; 0.01% of the Earth's land surface; (2) species richness patterns for vascular and non-vascular plants are inverted across 25 degrees of latitude in Chile; and (3) while vascular plants are 20 times more abundant than non-vascular plants globally and in tropical South America, non-vascular plants are dominant in the sub-Antarctic Magellanic ecoregion and Antarctic Peninsula. These findings have been translated into policy and conservation decisions, including the creation of the Cape Horn Biosphere Reserve in 2005 and the introduction there of tourism with a hand lens in the diverse miniature forests of bryophytes, lichens, and invertebrates. We argue for consideration of ecoregional- or biome-specific indicator groups, rather than a narrow set of global indicator groups, for designing effective conservation strategies.</t>
  </si>
  <si>
    <t>[Rozzi, Ricardo; Callicott, J. Baird] Univ N Texas, Dept Philosophy, Denton, TX 76201 USA; [Rozzi, Ricardo; Massardo, Francisca; Anderson, Christopher B.] Univ Magallanes, Omora Ethnobot Pk, Puerto Williams, Antarctic, Chile; [Rozzi, Ricardo; Armesto, Juan J.; Massardo, Francisca; Arroyo, Mary T. K.; Anderson, Christopher B.; Cavieres, Lohengrin A.] Univ Chile, Fac Ciencias, Inst Ecol &amp; Biodivers, Santiago 653, Chile; [Armesto, Juan J.] Pontificia Univ Catolica Chile, Ctr Adv Studies Ecol &amp; Biodivers, Santiago 340, Chile; [Goffinet, Bernard; Silander, John] Univ Connecticut, Dept Ecol &amp; Evolut Biol, Storrs, CT 06269 USA; [Buck, William] New York Bot Garden, Inst Systemat Bot, Bronx, NY 10458 USA; [Russell, Shaun] Univ Wales, CAZS Nat Resources, Bangor LL57 2UW, Gwynedd, Wales; [Cavieres, Lohengrin A.] Univ Concepcion, Dept Bot, Concepcion, Chile</t>
  </si>
  <si>
    <t>University of North Texas System; University of North Texas Denton; Universidad de Magallanes; Universidad de Chile; Pontificia Universidad Catolica de Chile; University of Connecticut; New York Botanical Garden; Bangor University; Universidad de Concepcion</t>
  </si>
  <si>
    <t>Rozzi, R (corresponding author), Univ N Texas, Dept Philosophy, Denton, TX 76201 USA.</t>
  </si>
  <si>
    <t>rozzi@unt.edu</t>
  </si>
  <si>
    <t>Rozzi, Ricardo/G-1047-2012; Anderson, Christopher/V-4882-2019; Armesto, Juan J/G-6467-2016; Cavieres, Lohengrin A./A-9542-2010</t>
  </si>
  <si>
    <t>Rozzi, Ricardo/0000-0001-5265-8726; Anderson, Christopher/0000-0001-8120-5689; Cavieres, Lohengrin A./0000-0001-9122-3020</t>
  </si>
  <si>
    <t>1540-9295</t>
  </si>
  <si>
    <t>1540-9309</t>
  </si>
  <si>
    <t>FRONT ECOL ENVIRON</t>
  </si>
  <si>
    <t>Front. Ecol. Environ.</t>
  </si>
  <si>
    <t>10.1890/070020</t>
  </si>
  <si>
    <t>282WF</t>
  </si>
  <si>
    <t>WOS:000254597200018</t>
  </si>
  <si>
    <t>Sparling, CE; Thompson, D; Fedak, MA; Gallon, SL; Speakman, JR</t>
  </si>
  <si>
    <t>Sparling, C. E.; Thompson, D.; Fedak, M. A.; Gallon, S. L.; Speakman, J. R.</t>
  </si>
  <si>
    <t>Estimating field metabolic rates of pinnipeds: doubly labelled water gets the seal of approval</t>
  </si>
  <si>
    <t>FUNCTIONAL ECOLOGY</t>
  </si>
  <si>
    <t>grey seal; doubly labeled water; energetics; respirometry; isotopes</t>
  </si>
  <si>
    <t>DAILY ENERGY-EXPENDITURE; TOTAL-BODY WATER; CARBON-DIOXIDE PRODUCTION; ANTARCTIC FUR SEALS; CO2 PRODUCTION; HEART-RATE; INDIRECT CALORIMETRY; FORAGING ENERGETICS; VALIDATION; HYDROGEN</t>
  </si>
  <si>
    <t>1. Measures of the field metabolic rate of marine mammals are extremely difficult to make but they are essential for assessing the impacts of marine mammals on prey populations, and for assessing dive performance in relation to aerobic limits. 2. The doubly labelled water (DLW) method is an isotope-based technique for the estimation of the CO2 production, and hence energy expenditure, of free-living animals. Estimates of field metabolic rate (FMR) from DLW in pinnipeds to date are extremely high and at the upper range for most mammals. DLW has previously been validated in pinnipeds but logistical difficulties meant for these validations were less than ideal, and it has been hypothesised that DLW may overestimate FMR in these animals. 3. To test this hypothesis, we used DLW and simultaneous open-flow respirometry to determine the daily energy expenditures (DEE) of wild grey seals (Halichoerus grypus) held temporarily in a captive facility, during 4-5 days of simulated foraging at sea. Comparing DEE from DLW and respirometry, we found that DLW predicted DEE accurately (average difference between the two estimates was 0.7% SD = 17% n = 31), but as with validations of other species there was a large range of individual errors (from -39% to +44%). 4. The results dispel the doubts surrounding the use of DLW as a field method for estimating energy expenditure in grey seals, and by implication other pinnipeds, and simultaneously open a series of questions about their ability to maintain surprisingly high metabolic rates for protracted periods. 5. We make a number of recommendations for future studies of pinniped FMR using DLW. We suggest use of the Speakman two-pool calculation will be most appropriate. Studies should aim for enrichment levels as high as economically feasible but to at least 150 p.p.m. above background for the O-2 isotope. Measurement periods should be extended between one and two half-lives (5-10 days for a typical foraging seal). We also encourage the calculation and presentation of estimates of precision in estimates of FMR.</t>
  </si>
  <si>
    <t>[Sparling, C. E.; Thompson, D.; Fedak, M. A.; Gallon, S. L.] Univ St Andrews, Sea Mammal Res Unit, Gatty Marine Lab, St Andrews KY16 8LB, Fife, Scotland; [Speakman, J. R.] Univ Aberdeen, Sch Biol Sci, Aberdeen AB24 2TZ, Scotland</t>
  </si>
  <si>
    <t>University of St Andrews; University of Aberdeen</t>
  </si>
  <si>
    <t>Sparling, CE (corresponding author), Univ St Andrews, Sea Mammal Res Unit, Gatty Marine Lab, St Andrews KY16 8LB, Fife, Scotland.</t>
  </si>
  <si>
    <t>ces6@st-andrews.ac.uk</t>
  </si>
  <si>
    <t>John, Speakman R/A-9494-2008; Fedak, Michael/B-3987-2009</t>
  </si>
  <si>
    <t>Fedak, Michael/0000-0002-9569-1128</t>
  </si>
  <si>
    <t>Natural Environment Research Council [NER/D/S/2003/00650, smru10001] Funding Source: researchfish</t>
  </si>
  <si>
    <t>0269-8463</t>
  </si>
  <si>
    <t>1365-2435</t>
  </si>
  <si>
    <t>FUNCT ECOL</t>
  </si>
  <si>
    <t>Funct. Ecol.</t>
  </si>
  <si>
    <t>10.1111/j.1365-2435.2007.01368.x</t>
  </si>
  <si>
    <t>Ecology</t>
  </si>
  <si>
    <t>277DA</t>
  </si>
  <si>
    <t>WOS:000254191700007</t>
  </si>
  <si>
    <t>Tinivella, U; Accaino, F; Della Vedova, B</t>
  </si>
  <si>
    <t>Tinivella, U.; Accaino, F.; Della Vedova, B.</t>
  </si>
  <si>
    <t>Gas hydrates and active mud volcanism on the South Shetland continental margin, Antarctic Peninsula</t>
  </si>
  <si>
    <t>GEO-MARINE LETTERS</t>
  </si>
  <si>
    <t>SEISMIC DATA; SEDIMENTS; DIAPIRISM; INVERSION; ISLANDS; SHALLOW</t>
  </si>
  <si>
    <t>During the Antarctic summer of 2003-2004, new geophysical data were acquired from aboard the R/V OGS Explora in the BSR-rich area discovered in 1996-1997 along the South Shetland continental margin off the Antarctic Peninsula. The objective of the research program, supported by the Italian National Antarctic Program (PNRA), was to verify the existence of a potential gas hydrate reservoir and to reconstruct the tectonic setting of the margin, which probably controls the extent and character of the diffused and discontinuous bottom simulating reflections. The new dataset, i.e. multibeam bathymetry, seismic profiles (airgun and chirp), and two gravity cores analysed by computer-aided tomography as well as for gas composition and content, clearly shows active mud volcanism sustained by hydrocarbon venting in the region: several vents, located mainly close to mud volcanoes, were imaged during the cruise and their occurrence identified in the sediment samples. Mud volcanoes, vents and recent slides border the gas hydrate reservoir discovered in 1996-1997. The cores are composed of stiff silty mud. In core GC01, collected in the proximity of a mud volcano ridge, the following gases were identified (maximum contents in brackets): methane (46 mu g/kg), pentane (45), ethane (35), propane (34), hexane (29) and butane (28). In core GC02, collected on the flank of the Vualt mud volcano, the corresponding data are methane (0 mu g/kg), pentane (45), ethane (22), propane (0), hexane (27) and butane (25).</t>
  </si>
  <si>
    <t>[Tinivella, U.; Accaino, F.] Ist Nazl Oceanog &amp; Geofis Sperimentale OGS, I-34010 Trieste, Italy; [Della Vedova, B.] Univ Trieste, Dipartimento Ingn Civile &amp; Ambientale, I-34100 Trieste, Italy</t>
  </si>
  <si>
    <t>Istituto Nazionale di Oceanografia e di Geofisica Sperimentale; University of Trieste</t>
  </si>
  <si>
    <t>Tinivella, U (corresponding author), Ist Nazl Oceanog &amp; Geofis Sperimentale OGS, Borgo Grotta Gigante 42C, I-34010 Trieste, Italy.</t>
  </si>
  <si>
    <t>utinivella@ogs.trieste.it</t>
  </si>
  <si>
    <t>Tinivella, Umberta/AAF-3133-2020</t>
  </si>
  <si>
    <t>Tinivella, Umberta/0000-0002-1588-6452; Accaino, Flavio/0000-0003-3512-2457</t>
  </si>
  <si>
    <t>0276-0460</t>
  </si>
  <si>
    <t>GEO-MAR LETT</t>
  </si>
  <si>
    <t>Geo-Mar. Lett.</t>
  </si>
  <si>
    <t>10.1007/s00367-007-0093-z</t>
  </si>
  <si>
    <t>277AG</t>
  </si>
  <si>
    <t>WOS:000254184200004</t>
  </si>
  <si>
    <t>Rodger, CJ; Seppälä, A; Clilverd, MA</t>
  </si>
  <si>
    <t>Rodger, Craig J.; Seppala, Annika; Clilverd, Mark A.</t>
  </si>
  <si>
    <t>Significance of transient luminous events to neutral chemistry:: Experimental measurements</t>
  </si>
  <si>
    <t>VLF PERTURBATIONS; SPRITES; PLASMA</t>
  </si>
  <si>
    <t>For many years it has been suggested that transient luminous events (TLE) occurring over thunderstorms may produce significant modifications to neutral atmospheric chemistry. Some have speculated that large ionisation increases from red sprites, one type of TLE, could result in enhancements of odd nitrogen. In this study we make use of nighttime NO2 observations by the GOMOS instrument to test whether TLE are producing significant NOx enhancements in the middle atmosphere on a regional scale. Comparing regional variations of NO2 with 2-3 order of magnitude variations in lightning activity, we show that there is no significant impact of red sprites, giant jets or blue jets upon NOx levels in the stratosphere and mesosphere (20-70 km), within the detection levels of the instrument. While individual TLE may cause a local variation in NOx, these do not appear to be significant on regional scales (or beyond).</t>
  </si>
  <si>
    <t>[Seppala, Annika] Finnish Meteorol Inst, Earth Observat, FIN-00101 Helsinki, Finland; [Rodger, Craig J.] Univ Otago, Dept Phys, Dunedin, New Zealand; [Clilverd, Mark A.] British Antarctic Survey, Div Phys Sci, Cambridge CB3 0ET, England</t>
  </si>
  <si>
    <t>Finnish Meteorological Institute; University of Otago; UK Research &amp; Innovation (UKRI); Natural Environment Research Council (NERC); NERC British Antarctic Survey</t>
  </si>
  <si>
    <t>Rodger, CJ (corresponding author), Univ Otago, Dept Phys, POB 56, Dunedin, New Zealand.</t>
  </si>
  <si>
    <t>crodger@physics.otago.ac.nz; annika.seppala@fmi.fi; macl@bas.ac.uk</t>
  </si>
  <si>
    <t>Seppälä, Annika/C-8031-2014; Rodger, Craig/A-1501-2011</t>
  </si>
  <si>
    <t>Seppälä, Annika/0000-0002-5028-8220; Rodger, Craig J./0000-0002-6770-2707</t>
  </si>
  <si>
    <t>Natural Environment Research Council [bas010022] Funding Source: researchfish; NERC [bas010022] Funding Source: UKRI</t>
  </si>
  <si>
    <t>L07803</t>
  </si>
  <si>
    <t>10.1029/2008GL033221</t>
  </si>
  <si>
    <t>284OT</t>
  </si>
  <si>
    <t>WOS:000254716400003</t>
  </si>
  <si>
    <t>Ling, SD; Johnson, CR; Frusher, S; King, CK</t>
  </si>
  <si>
    <t>Ling, Scott D.; Johnson, C. R.; Frusher, S.; King, C. K.</t>
  </si>
  <si>
    <t>Reproductive potential of a marine ecosystem engineer at the edge of a newly expanded range</t>
  </si>
  <si>
    <t>GLOBAL CHANGE BIOLOGY</t>
  </si>
  <si>
    <t>Centrostephanus rodgersii; climate change; gonad index; larval development; macroalgae; poleward range shift; reproductive phenology; temperate rocky reef; temperature threshold; urchin barrens</t>
  </si>
  <si>
    <t>URCHIN CENTROSTEPHANUS-RODGERSII; NEW-SOUTH-WALES; CLIMATE-CHANGE; HABITAT STRUCTURE; SPECIES BORDERS; SEA-URCHINS; DENSITY; REEFS; PATTERNS; IMPACTS</t>
  </si>
  <si>
    <t>Global climate change is leading to redistribution of marine species and altering ecosystem dynamics. Given recent poleward range extension of the barrens-forming sea urchin Centrostephanus rodgersii (Diadematidae) from mainland Australia to Tasmania, there is a need to understand the population dynamics of this ecologically important species in the Tasmanian environment. This paper informs possible population dynamics of C. rodgersii in Tasmania by examining its reproductive ecology in this new environment. Reproductive periodicity (gonad index and propensity to spawn) was assessed bimonthly over 18 months at four sites in eastern Tasmania spanning similar to 2 degrees in latitude. At all sites, C. rodgersii displayed a strong seasonal cycle in gonad production with major spawning occurring in winter (similar to August) at minimum annual water temperature. Gametes from Tasmanian C. rodgersii were viable as determined by fertilization and early development trials. However, development to the two-arm stage at similar to 3 weeks was strongly dependent on water temperature across the 8-20 degrees C temperature range, with poor development occurring below 12 degrees C. The range of temperatures tolerated by Tasmanian C. rodgersii larvae was similar to that of larvae from its native New South Wales range, indicating that this species has not undergone an adaptive shift to the cooler Tasmanian environment. There was also no evidence for an adaptive shift in reproductive phenology. Importantly, coastal water temperatures in eastern Tasmania during the peak spawning in August fluctuate about the 12 degrees C larval development threshold. Recent warming of the eastern Tasmanian coast and further warming predicted by global climate change will result in an environment increasingly favourable for the reproduction and development of C. rodgersii.</t>
  </si>
  <si>
    <t>[Ling, Scott D.; Johnson, C. R.] Univ Tasmania, Sch Zool, Hobart, Tas 7001, Australia; [Ling, Scott D.; Johnson, C. R.] Univ Tasmania, Tasmanian Aquaculture &amp; Fisheries Inst, Hobart, Tas 7001, Australia; [Frusher, S.] Tasmanian Aquaculture &amp; Fisheries Inst, Marine Res Labs, Taroona, Tas 7053, Australia; [King, C. K.] Australian Govt Antarctic Div, Kingston, Tas 7050, Australia</t>
  </si>
  <si>
    <t>University of Tasmania; University of Tasmania; University of Tasmania; Australian Antarctic Division</t>
  </si>
  <si>
    <t>Ling, SD (corresponding author), Univ Tasmania, Sch Zool, Private Bag 5, Hobart, Tas 7001, Australia.</t>
  </si>
  <si>
    <t>sdling@utas.edu.au</t>
  </si>
  <si>
    <t>King, Catherine K/G-7059-2017; Ling, Scott/J-7161-2014; Johnson, Craig/E-1788-2013; Frusher, Stewart/G-5117-2014</t>
  </si>
  <si>
    <t>King, Catherine K/0000-0003-3356-0381; Ling, Scott/0000-0002-5544-8174; Johnson, Craig/0000-0002-9511-905X; Frusher, Stewart/0000-0003-2493-3676</t>
  </si>
  <si>
    <t>1354-1013</t>
  </si>
  <si>
    <t>1365-2486</t>
  </si>
  <si>
    <t>GLOBAL CHANGE BIOL</t>
  </si>
  <si>
    <t>Glob. Change Biol.</t>
  </si>
  <si>
    <t>10.1111/j.1365-2486.2008.01543.x</t>
  </si>
  <si>
    <t>276FI</t>
  </si>
  <si>
    <t>WOS:000254126300016</t>
  </si>
  <si>
    <t>Wenny, BN; Xiong, X</t>
  </si>
  <si>
    <t>Wenny, Brian N.; Xiong, Xiaoxiong</t>
  </si>
  <si>
    <t>Using a cold earth surface target to characterize long-term stability of the MODIS thermal emissive bands</t>
  </si>
  <si>
    <t>IEEE GEOSCIENCE AND REMOTE SENSING LETTERS</t>
  </si>
  <si>
    <t>calibration stability; Moderate Resolution Imaging Spectroradiometer (MODIS); remote sensing; thermal emissive bands (TEB)</t>
  </si>
  <si>
    <t>DOME-C</t>
  </si>
  <si>
    <t>The Moderate Resolution Imaging Spectroradiometer (MODIS) has successfully provided Earth image products for instruments on the Terra and Aqua satellites since 2000 and 2002, respectively. Maintaining accurate radiometric calibration and calibration consistency between two sensors is an important issue for continued quality of long-term data records, especially as the instruments operate beyond their original projected mission lifetime. A strategy to use frequent MODIS measurements of the brightness temperature of the land surface in the area surrounding Dome Concordia, Antarctica (75.1 degrees S, 123.4 degrees E) to track the long-term stability of MODIS Band 31 is presented. Dome Concordia, located on the Antarctic plateau, is one of the most homogeneous land surfaces on Earth in terms of surface temperature and emissivity, with a seasonal temperature range of 190-250 K. The extremely dry, cold, and rarefied atmosphere of the site makes it ideal to track and detect any long-term changes in the MODIS thermal band response through trend analyses of near-nadir MODIS overpass data in conjunction with surface temperature measurements. Application of this approach shows an average relative bias between Terra and Aqua MODIS Band 31 (11 mu m) measurements of -0.08 K, which is well within the calibration uncertainty.</t>
  </si>
  <si>
    <t>[Wenny, Brian N.] Sci Syst &amp; Applicat Inc, Lanham, MD 20706 USA; [Xiong, Xiaoxiong] NASA, Goddard Space Flight Ctr, Sci &amp; Explorat Directorate, Greenbelt, MD 20771 USA</t>
  </si>
  <si>
    <t>Science Systems and Applications Inc; National Aeronautics &amp; Space Administration (NASA); NASA Goddard Space Flight Center</t>
  </si>
  <si>
    <t>Wenny, BN (corresponding author), Sci Syst &amp; Applicat Inc, Lanham, MD 20706 USA.</t>
  </si>
  <si>
    <t>Wenny, Brian/0000-0002-4352-757X</t>
  </si>
  <si>
    <t>IEEE-INST ELECTRICAL ELECTRONICS ENGINEERS INC</t>
  </si>
  <si>
    <t>PISCATAWAY</t>
  </si>
  <si>
    <t>445 HOES LANE, PISCATAWAY, NJ 08855-4141 USA</t>
  </si>
  <si>
    <t>1545-598X</t>
  </si>
  <si>
    <t>1558-0571</t>
  </si>
  <si>
    <t>IEEE GEOSCI REMOTE S</t>
  </si>
  <si>
    <t>IEEE Geosci. Remote Sens. Lett.</t>
  </si>
  <si>
    <t>10.1109/LGRS.2008.915603</t>
  </si>
  <si>
    <t>Geochemistry &amp; Geophysics; Engineering, Electrical &amp; Electronic; Remote Sensing; Imaging Science &amp; Photographic Technology</t>
  </si>
  <si>
    <t>Geochemistry &amp; Geophysics; Engineering; Remote Sensing; Imaging Science &amp; Photographic Technology</t>
  </si>
  <si>
    <t>342EH</t>
  </si>
  <si>
    <t>WOS:000258766900009</t>
  </si>
  <si>
    <t>Southwell, C; Paxton, CGM; Borchers, D; Boveng, P; De la Mare, W</t>
  </si>
  <si>
    <t>Southwell, Colin; Paxton, Charles G. M.; Borchers, David; Boveng, Peter; De la Mare, William</t>
  </si>
  <si>
    <t>Taking account of dependent species in management of the Southern Ocean krill fishery: estimating crabeater seal abundance off east Antarctica</t>
  </si>
  <si>
    <t>JOURNAL OF APPLIED ECOLOGY</t>
  </si>
  <si>
    <t>aerial survey; dependent species; double observer; line transect; model-based inference; krill harvest management; shipboard survey</t>
  </si>
  <si>
    <t>PACK-ICE; BEHAVIOR</t>
  </si>
  <si>
    <t>1. The crabeater seal Lobodon carcinophaga is considered to be a key species in the krill-based food-web of the Southern Ocean. Reliable estimates of the abundance of this species are necessary to allow the development of multispecies, predator-prey models as a basis for management of the krill fishery in the Southern Ocean. 2. A survey of crabeater seal abundance was undertaken in 1500 000 km(2) of pack-ice off east Antarctica between longitudes 64-150 degrees E during the austral summer of 1999/2000. Sighting surveys, using double observer line transect methods, were conducted from an icebreaker and two helicopters to estimate the density of seals hauled out on the ice in survey strips. Satellite-linked dive recorders were deployed on a sample of seals to estimate the probability of seals being hauled out on the ice at the times of day when sighting surveys were conducted. Model-based inference, involving fitting a density surface, was used to infer densities in the entire survey region from estimates in the surveyed areas. 3. Crabeater seal abundance was estimated to be between 0.7 and 1.4 million animals (with 95% confidence), with the most likely estimate slightly less than 1 million. 4. Synthesis and applications. The estimation of crabeater seal abundance in Convention for the Conservation of Antarctic Marine Living Resources (CCAMLR) management areas off east Antarctic where krill biomass has also been estimated recently provides the data necessary to begin extending from single-species to multispecies management of the krill fishery. Incorporation of all major sources of uncertainty allows a precautionary interpretation of crabeater abundance and demand for krill in keeping with CCAMLR's precautionary approach to management. While this study focuses on the crabeater seal and management of living resources in the Southern Ocean, it has also led to technical and theoretical developments in survey methodology that have widespread potential application in ecological and resource management studies, and will contribute to a more fundamental understanding of the structure and function of the Southern Ocean ecosystem.</t>
  </si>
  <si>
    <t>[Southwell, Colin] Australian Antarctic Div, Dept Environm &amp; Water Resources, Kingston, Tas 7050, Australia; [Paxton, Charles G. M.; Borchers, David] Univ St Andrews, Sch Math &amp; Stat, St Andrews KY16 9SS, Fife, Scotland; [Boveng, Peter] NOAA Fisheries, Alaska Fisheries Sci Ctr, Seattle, WA 98115 USA; [De la Mare, William] Simon Fraser Univ, Sch Resource &amp; Environm Management, Burnaby, BC V5A 1S6, Canada</t>
  </si>
  <si>
    <t>Australian Antarctic Division; University of St Andrews; National Oceanic Atmospheric Admin (NOAA) - USA; Simon Fraser University</t>
  </si>
  <si>
    <t>Southwell, C (corresponding author), Australian Antarctic Div, Dept Environm &amp; Water Resources, Channel Highway, Kingston, Tas 7050, Australia.</t>
  </si>
  <si>
    <t>0021-8901</t>
  </si>
  <si>
    <t>1365-2664</t>
  </si>
  <si>
    <t>J APPL ECOL</t>
  </si>
  <si>
    <t>J. Appl. Ecol.</t>
  </si>
  <si>
    <t>10.1111/j.1365-2664.2007.01399.x</t>
  </si>
  <si>
    <t>277DI</t>
  </si>
  <si>
    <t>WOS:000254192500024</t>
  </si>
  <si>
    <t>Bala, G; Rood, RB; Mirin, A; McClean, J; Achutarao, K; Bader, D; Gleckler, P; Neale, R; Rasch, P</t>
  </si>
  <si>
    <t>Bala, G.; Rood, R. B.; Mirin, A.; McClean, J.; Achutarao, Krishna; Bader, D.; Gleckler, P.; Neale, R.; Rasch, P.</t>
  </si>
  <si>
    <t>Evaluation of a CCSM3 simulation with a finite volume dynamical core for the atmosphere at 1° latitude x 1.25° longitude resolution</t>
  </si>
  <si>
    <t>CLIMATE SYSTEM MODEL; ICE THICKNESS DISTRIBUTION; ARCTIC SEA-ICE; GLOBAL PRECIPITATION; TRANSPORT; SURFACE; VERSION; VARIABILITY; FORMULATION</t>
  </si>
  <si>
    <t>A simulation of the present-day climate by the Community Climate System Model version 3 (CCSM3) that uses a Finite Volume (FV) numerical method for solving the equations governing the atmospheric dynamics is presented. The simulation is compared to observations and to the well-documented simulation by the standard CCSM3, which uses the Eulerian spectral method for the atmospheric dynamics. The atmospheric component in the simulation herein uses a 1 degrees latitude X 1.25 degrees longitude grid, which is a slightly finer resolution than the T85-grid used in the spectral transform. As in the T85 simulation, the ocean and ice models use a nominal 1-degree grid. Although the physical parameterizations are the same and the resolution is comparable to the standard model, substantial testing and slight retuning were required to obtain an acceptable control simulation. There are significant improvements in the simulation of the surface wind stress and sea surface temperature. Improvements are also seen in the simulations of the total variance in the tropical Pacific, the spatial pattern of ice thickness distribution in the Arctic, and the vertically integrated ocean circulation in the Antarctic Circumpolar Current. The results herein demonstrate that the FV version of the CCSM coupled model is a state-of-the-art climate model whose simulation capabilities are in the class of those used for Intergovernmental Panel on Climate Change (IPCC) assessments. The simulated climate is very similar to that of the T85 version in terms of its biases, and more like the T85 model than the other IPCC models.</t>
  </si>
  <si>
    <t>[Bala, G.; Mirin, A.; Achutarao, Krishna; Bader, D.; Gleckler, P.] Lawrence Livermore Natl Lab, Energy &amp; Environm Directorate, Livermore, CA 94550 USA; [Rood, R. B.] Univ Michigan, Dept Atmospher Ocean &amp; Space Sci, Ann Arbor, MI 48109 USA; [McClean, J.] Univ Calif San Diego, Scripps Inst Oceanog, La Jolla, CA 92093 USA; [Neale, R.; Rasch, P.] Natl Ctr Atmospher Res, Boulder, CO 80307 USA; [Achutarao, Krishna] Indian Inst Technol, New Delhi, India</t>
  </si>
  <si>
    <t>United States Department of Energy (DOE); Lawrence Livermore National Laboratory; University of Michigan System; University of Michigan; University of California System; University of California San Diego; Scripps Institution of Oceanography; National Center Atmospheric Research (NCAR) - USA; Indian Institute of Technology System (IIT System); Indian Institute of Technology (IIT) - Delhi</t>
  </si>
  <si>
    <t>Bala, G (corresponding author), Lawrence Livermore Natl Lab, Energy &amp; Environm Directorate, Livermore, CA 94550 USA.</t>
  </si>
  <si>
    <t>bala1@llnl.gov</t>
  </si>
  <si>
    <t>Neale, Richard B/H-6551-2017; Bala, Govindasamy/ABF-3255-2020; Rasch, Philip J/F-7978-2018; Gleckler, Peter/H-4762-2012; Bader, David/H-6189-2011; Rood, Richard/C-5611-2008</t>
  </si>
  <si>
    <t>Bala, Govindasamy/0000-0002-3079-0600; Bader, David/0000-0003-3210-339X; Rood, Richard/0000-0002-2310-4262</t>
  </si>
  <si>
    <t>10.1175/2007JCLI2060.1</t>
  </si>
  <si>
    <t>288RR</t>
  </si>
  <si>
    <t>WOS:000255004000002</t>
  </si>
  <si>
    <t>Leuschen, CJ; Swift, RN; Comiso, JC; Raney, RK; Chapman, RD; Krabill, WB; Sonntag, JG</t>
  </si>
  <si>
    <t>Leuschen, Carlton J.; Swift, Robert N.; Comiso, Josefino C.; Raney, R. Keith; Chapman, Rickey D.; Krabill, William B.; Sonntag, John G.</t>
  </si>
  <si>
    <t>Combination of laser and radar altimeter height measurements to estimate snow depth during the 2004 Antarctic AMSR-E Sea Ice field campaign</t>
  </si>
  <si>
    <t>ARCTIC-OCEAN; VARIABILITY; ROUGHNESS; SHEETS; COVER</t>
  </si>
  <si>
    <t>Among the most important parameters needed to evaluate the present and future state of Antarctic sea ice cover is the ice thickness. The retrieval of ice thickness using remote sensing techniques has been hampered by the absence of a capability to remotely measure snow thickness covering the sea ice. Data sets collected with Johns Hopkins Applied Physics Laboratory's Delay-Doppler Phase Monopulse (D2P) radar and NASA's Airborne Topographic Mapper (ATM) scanning lidar during NASA's Antarctic AMSR-E Sea Ice field campaign over the Bellingshausen Sea are used to demonstrate the potential of a remote-sensing technique for retrieval of snow cover thickness from an airborne platform. The technique takes advantage of the fact that the radar is most sensitive to the snow-ice interface while the lidar responds to the highly optically reflective snow surface. The difference between the radar- and laser-determined surfaces yields an estimate of snow thickness that appears to be reasonably consistent with expected values. The technique requires careful registration of the instrument footprints. Because there was no absolute range calibration of the lidar due to predeployment scheduling difficulties, the vertical offset between the instruments was resolved by determining the difference between measurements over leads. Elsewhere over sea ice the radar-defined surface is generally below the laser-defined surface consistent with the radar defining the snow-ice interface. Over a relatively small portion of the data, we observed opposite relationship between the sensor-defined surfaces for which we discuss a plausible physical explanation.</t>
  </si>
  <si>
    <t>[Leuschen, Carlton J.] Univ Kansas, Ctr Remote Sensing Ice Sheets, Lawrence, KS 66045 USA; [Swift, Robert N.; Sonntag, John G.] NASA, Goddard Space Flight Ctr, Observat Sci Branch, Wallops Isl, VA 23337 USA; [Comiso, Josefino C.] NASA, Goddard Space Flight Ctr, Cryospher Sci Branch, Greenbelt, MD 20771 USA; [Raney, R. Keith; Chapman, Rickey D.] Johns Hopkins Univ, Appl Phys Lab, Laurel, MD USA</t>
  </si>
  <si>
    <t>University of Kansas; National Aeronautics &amp; Space Administration (NASA); NASA Goddard Space Flight Center; National Aeronautics &amp; Space Administration (NASA); NASA Goddard Space Flight Center; Johns Hopkins University; Johns Hopkins University Applied Physics Laboratory</t>
  </si>
  <si>
    <t>Leuschen, CJ (corresponding author), Univ Kansas, Ctr Remote Sensing Ice Sheets, 2335 Irving Hill Rd, Lawrence, KS 66045 USA.</t>
  </si>
  <si>
    <t>leuschen@eecs.ku.edu</t>
  </si>
  <si>
    <t>C04S90</t>
  </si>
  <si>
    <t>10.1029/2007JC004285</t>
  </si>
  <si>
    <t>284PH</t>
  </si>
  <si>
    <t>WOS:000254717800001</t>
  </si>
  <si>
    <t>Michaud, MR; Benoit, JB; Lopez-Martinez, G; Elnitsky, MA; Lee, RE; Denlinger, DL</t>
  </si>
  <si>
    <t>Michaud, M. Robert; Benoit, Joshua B.; Lopez-Martinez, Giancarlo; Elnitsky, Michael A.; Lee, Richard E., Jr.; Denlinger, David L.</t>
  </si>
  <si>
    <t>Metabolomics reveals unique and shared metabolic changes in response to heat shock, freezing and desiccation in the Antarctic midge, Belgica antarctica</t>
  </si>
  <si>
    <t>JOURNAL OF INSECT PHYSIOLOGY</t>
  </si>
  <si>
    <t>cold; dehydration; metabolism; polar insect; chironomidae</t>
  </si>
  <si>
    <t>COLD-HARDINESS; NONANOIC ACID; TOLERANCE; ACCLIMATION; PATTERNS; FLY; MECHANISMS; DIAPAUSE; STRESS; CARBOHYDRATE</t>
  </si>
  <si>
    <t>The midge, Belgica antarctica Jacobs, is subjected to numerous environmental stressors during its 2-year life cycle on the Antarctic Peninsula, and in response it has evolved a suite of behavioral, physiological, and life-cycle modifications to counter these stressors, but thus far only a limited number of biochemical adaptations have been identified. In this study, we use a metabolomics approach to obtain a broad overview of changes in energy metabolism, amino acids, and polyols in response to three of the midge's major stresses: heat, freezing, and desiccation. Using GC-MS analysis, a total of 75 compounds were identified. Desiccation (50% water loss) elicited the greatest physiological response (as determined by principal components analysis) when compared to untreated controls, with many elevated metabolites from pathways of central carbohydrate metabolism and a decrease in free amino acids. When larvae were frozen (6 h at -10 degrees C), alanine and aspartate increased as well as urea. Freezing also increased three polyols (glycerol, mannitol, erythritol), while desiccation increased only two polyols (glycerol, erythritol). Heating the midges for 1 h at 30 degrees C elevated alpha-ketoglutarate and putrescine while suppressing glycerol, glucose, and serine levels. Freezing and desiccation elicited elevation of four shared metabolites, whereas no shared metabolites were elevated by heat. All three treatments resulted in a reduction in serine, potentially identifying this amino acid as a marker for stress in this species. A number of metabolic changes, especially those in the sugar and polyol pools, are adaptations that have potential to enhance survival during both cold and desiccation. (C) 2008 Elsevier Ltd. All rights reserved.</t>
  </si>
  <si>
    <t>[Michaud, M. Robert; Benoit, Joshua B.; Lopez-Martinez, Giancarlo; Denlinger, David L.] Ohio State Univ, Dept Entomol, Columbus, OH 43210 USA; [Elnitsky, Michael A.; Lee, Richard E., Jr.] Miami Univ, Dept Zool, Oxford, OH 45056 USA</t>
  </si>
  <si>
    <t>University System of Ohio; Ohio State University; University System of Ohio; Miami University</t>
  </si>
  <si>
    <t>Michaud, MR (corresponding author), Ohio State Univ, Dept Entomol, 318 W 12th Ave, Columbus, OH 43210 USA.</t>
  </si>
  <si>
    <t>michaud.11@osu.edu</t>
  </si>
  <si>
    <t>Lopez-Martinez, Giancarlo/AAE-8134-2020; Lopez-Martinez, Giancarlo/D-1718-2011</t>
  </si>
  <si>
    <t>Lopez-Martinez, Giancarlo/0000-0002-7937-5002; Lopez-Martinez, Giancarlo/0000-0002-7937-5002</t>
  </si>
  <si>
    <t>0022-1910</t>
  </si>
  <si>
    <t>1879-1611</t>
  </si>
  <si>
    <t>J INSECT PHYSIOL</t>
  </si>
  <si>
    <t>J. Insect Physiol.</t>
  </si>
  <si>
    <t>10.1016/j.jinsphys.2008.01.003</t>
  </si>
  <si>
    <t>Entomology; Physiology; Zoology</t>
  </si>
  <si>
    <t>300FJ</t>
  </si>
  <si>
    <t>WOS:000255809400001</t>
  </si>
  <si>
    <t>Seo, C; Sohn, JH; Park, SM; Yim, JH; Lee, HK; Oh, H</t>
  </si>
  <si>
    <t>Seo, Changon; Sohn, Jae Hak; Park, Seong Min; Yim, Joung Han; Lee, Hong Kum; Oh, Hyuncheol</t>
  </si>
  <si>
    <t>Usimines A-C, bioactive usnic acid derivatives from the Antarctic lichen Stereocaulon alpinum</t>
  </si>
  <si>
    <t>JOURNAL OF NATURAL PRODUCTS</t>
  </si>
  <si>
    <t>CERCOSPORIDIUM-HENNINGSII; TYROSINE-PHOSPHATASE; METABOLITES; PTP1B</t>
  </si>
  <si>
    <t>Usimines A-C (1-3), three new usnic acid derivatives, have been isolated from a MeOH extract of the Antarctic lichen Stereocaulon alpinum by various chromatographic methods. The structures of 1-3 were determined by analysis of their spectroscopic data (NMR, UV, MS) and by chemical methods. The known compound usnic acid (4) was also obtained. Compounds 1-4 showed moderate inhibitory activity against therapeutically targeted protein tyrosine phosphatase 113 (PTP1B).</t>
  </si>
  <si>
    <t>[Seo, Changon; Sohn, Jae Hak; Oh, Hyuncheol] Silla Univ, Coll Med &amp; Life Sci, Pusan 617736, South Korea; [Park, Seong Min] Pukyong Natl Univ, Ind Univ Cooperat Fdn, Pusan 608739, South Korea; [Yim, Joung Han; Lee, Hong Kum] KORDI, Korea Polar Res Inst, Inchon 406840, South Korea</t>
  </si>
  <si>
    <t>Silla University; Pukyong National University; Korea Polar Research Institute (KOPRI); Korea Institute of Ocean Science &amp; Technology (KIOST)</t>
  </si>
  <si>
    <t>Oh, H (corresponding author), Silla Univ, Coll Med &amp; Life Sci, Pusan 617736, South Korea.</t>
  </si>
  <si>
    <t>hoh@silla.ac.kr</t>
  </si>
  <si>
    <t>0163-3864</t>
  </si>
  <si>
    <t>1520-6025</t>
  </si>
  <si>
    <t>J NAT PROD</t>
  </si>
  <si>
    <t>J. Nat. Prod.</t>
  </si>
  <si>
    <t>10.1021/np070464b</t>
  </si>
  <si>
    <t>Plant Sciences; Chemistry, Medicinal; Pharmacology &amp; Pharmacy</t>
  </si>
  <si>
    <t>Plant Sciences; Pharmacology &amp; Pharmacy</t>
  </si>
  <si>
    <t>293MJ</t>
  </si>
  <si>
    <t>WOS:000255339100038</t>
  </si>
  <si>
    <t>Obata, H; Shitashima, K; Isshik, K; Nakayama, E</t>
  </si>
  <si>
    <t>Obata, Hajime; Shitashima, Kiminori; Isshik, Kenji; Nakayama, Enchiro</t>
  </si>
  <si>
    <t>Iron, manganese and aluminum in upper waters of the western South Pacific ocean and its adjacent seas</t>
  </si>
  <si>
    <t>JOURNAL OF OCEANOGRAPHY</t>
  </si>
  <si>
    <t>Western Pacific Geophysics Meeting</t>
  </si>
  <si>
    <t>JUL, 2006</t>
  </si>
  <si>
    <t>Beijing, PEOPLES R CHINA</t>
  </si>
  <si>
    <t>total dissolvable iron; manganese; aluminum; western South Pacific; Tasman Sea; Coral Sea; Solomon Sea</t>
  </si>
  <si>
    <t>SURFACE WATERS; PHYTOPLANKTON BLOOM; NORTH PACIFIC; CHEMILUMINESCENCE DETECTION; AUTOMATED-DETERMINATION; ANTARCTIC WATERS; EASTERN ATLANTIC; DUST DEPOSITION; TRACE-METALS; NEW-ZEALAND</t>
  </si>
  <si>
    <t>Total dissolvable iron, manganese and aluminum distributions in upper waters were determined in the western South Pacific, Solomon Sea, Coral Sea, and Tasman Sea. In these oceanic regions, the surface aluminum distributions well reflect the atmospheric deposition pattern of mineral dust in the western South Pacific reported previously. Surface manganese distributions derive mainly from lateral transportation from the coastal sediments of western tropical islands. Compared to Mn and Al, the Fe distributions reflect the nutrient cycle in upper waters. Iron limitation over the vast South Pacific, as revealed by physiological features of phytoplankton seems to, be caused by low atmospheric dust deposition and low Fe:N ratios in deep waters. In the western South Pacific, with its unique geographic and oceanographic settings, the local sources of trace metals might considerably affect their biogeochemical cycles.</t>
  </si>
  <si>
    <t>[Obata, Hajime] Univ Tokyo, Ocean Res Inst, Nakano Ku, Tokyo 1648639, Japan; [Shitashima, Kiminori] Cent Res Inst Elect Power Ind, Chiba 2701194, Japan; [Isshik, Kenji] Kochi Womens Univ, Dept Environm Sci, Kochi 7808515, Japan; [Nakayama, Enchiro] Univ Shiga Prefecture, Sch Environm Sci, Shiga 5228533, Japan</t>
  </si>
  <si>
    <t>University of Tokyo; Central Research Institute of Electric Power Industry - Japan; University Shiga Prefecture</t>
  </si>
  <si>
    <t>Obata, H (corresponding author), Univ Tokyo, Ocean Res Inst, Nakano Ku, Tokyo 1648639, Japan.</t>
  </si>
  <si>
    <t>obata@ori.u-tokyo.ac.jp</t>
  </si>
  <si>
    <t>0916-8370</t>
  </si>
  <si>
    <t>J OCEANOGR</t>
  </si>
  <si>
    <t>J. Oceanogr.</t>
  </si>
  <si>
    <t>10.1007/s10872-008-0018-0</t>
  </si>
  <si>
    <t>267YP</t>
  </si>
  <si>
    <t>WOS:000253545400009</t>
  </si>
  <si>
    <t>Niu, YL; O'Hara, MJ</t>
  </si>
  <si>
    <t>Niu, Yaoling; O'Hara, Michael J.</t>
  </si>
  <si>
    <t>Global correlations of ocean ridge basalt chemistry with axial depth: A new perspective</t>
  </si>
  <si>
    <t>JOURNAL OF PETROLOGY</t>
  </si>
  <si>
    <t>mid-ocean ridges; mantle melting; magma differentiation; petrogenesis; MORB chemistry variation; ridge depth variation; global correlations; mantle compositional variation; mantle source density variation; mantle potential temperature variation; isostatic compensation</t>
  </si>
  <si>
    <t>EAST PACIFIC RISE; BENEATH MIDOCEAN RIDGES; AUSTRALIAN-ANTARCTIC DISCORDANCE; GARRETT TRANSFORM-FAULT; MID-ATLANTIC RIDGE; UPPER-MANTLE; TRACE-ELEMENT; MAGMA CHAMBER; ABYSSAL PERIDOTITES; CRUSTAL THICKNESS</t>
  </si>
  <si>
    <t>The petrological parameters Na-8 and Fe-8, which are Na2O and FeO contents in mid-ocean ridge basalt (MORB) melts corrected for fractionation effects to MgO8wt, have been widely used as indicators of the extent and pressure of mantle melting beneath ocean ridges. We find that these parameters are unreliable. Fe-8 is used to compute the mantle solidus depth (P-o) and temperature (T-o), and it is the values and range of Fe-8 that have led to the notion that mantle potential temperature variation of Delta T-P=250K is required to explain the global ocean ridge systematics. This interpreted Delta T-P=250K range applies to ocean ridges away from hotspots. We find no convincing evidence that calculated values for P-o, T-o, and Delta T-P using Fe-8 have any significance. We correct for fractionation effect to Mg#=0.72, which reveals mostly signals of mantle processes because melts with Mg#=0.72 are in equilibrium with mantle olivine of Fo(896) (vs evolved olivine of Fo(881796) in equilibrium with melts of Fe-8). To reveal first-order MORB chemical systematics as a function of ridge axial depth, we average out possible effects of spreading rate variation, local-scale mantle source heterogeneity, melting region geometry variation, and dynamic topography on regional and segment scales by using actual sample depths, regardless of geographical location, within each of 22 ridge depth intervals of 250m on a global scale. These depth-interval averages give Fe(72)7585, which would give Delta T-P=41K (vs similar to 250K based on Fe-8) beneath global ocean ridges. The lack of Fe72Si72 and Si(72)ridge depth correlations provides no evidence that MORB melts preserve pressure signatures as a function of ridge axial depth. We thus find no convincing evidence for Delta T-P&gt;50K beneath global ocean ridges. The averages have alsorevealed significant correlations of MORB chemistry (e.g.Ti-72, Al-72, Fe-72, Mg-72, Ca-72, Na-72 and Ca-72/Al-72) with ridge axial depth. The chemistrydepth correlation points to an intrinsic link between the two. That is, the similar to 5km global ridge axial relief and MORB chemistry both result from a common cause: subsolidus mantle compositional variation (vs Delta T-P), which determines the mineralogy, lithology and density variations that (1) isostatically compensate the similar to 5km ocean ridge relief and (2) determine the first-order MORB compositional variation on a global scale. A progressivelymore enriched (or less depleted) fertile peridotite source (i.e. high Al2O3 and Na2O, and low CaO/Al2O3) beneath deep ridges ensures a greater amount of modal garnet (high Al2O3) and higher jadeite/diopside ratios in clinopyroxene (high Na2O and Al2O3, and lower CaO), making a denser mantle, and thus deeper ridges. The dense fertile mantle beneath deep ridges retards the rate and restricts the amplitude of the upwelling, reduces the rate and extent of decompression melting, gives way to conductive cooling to a deep level, forces melting to stop at such a deep level, leads to a short melting column, and thus produces less melt and probably a thin magmatic crust relative to the less dense (more refractory) fertile mantle eneath shallow ridges. Compositions of primitive MORB melts result from the combination of two different, but genetically related processes: (1) mantle source inheritance and (2) melting process enhancement. The subsolidus mantle compositional variation needed to explain MORB chemistry and ridge axial depth variation requires a deep isostatic compensation depth, probably in the transition zone. Therefore, although ocean ridges are of shallow origin, their working is largely controlled by deep processes as well as the effect of plate spreading rate variation at shallow levels.</t>
  </si>
  <si>
    <t>Univ Durham, Dept Earth Sci, Durham DH1 3LE, England; [O'Hara, Michael J.] Aberystwyth Univ, Inst Geog &amp; Earth Studies, Aberystwyth SY23 3DB, Dyfed, Wales</t>
  </si>
  <si>
    <t>Durham University; Aberystwyth University</t>
  </si>
  <si>
    <t>Niu, YL (corresponding author), Univ Durham, Dept Earth Sci, Durham DH1 3LE, England.</t>
  </si>
  <si>
    <t>Yaoling.Niu@durham.ac.uk</t>
  </si>
  <si>
    <t>Niu, Yaoling/A-5448-2008; Niu, Yaoling/GPW-9211-2022</t>
  </si>
  <si>
    <t>Niu, Yaoling/0000-0001-9488-2304;</t>
  </si>
  <si>
    <t>0022-3530</t>
  </si>
  <si>
    <t>J PETROL</t>
  </si>
  <si>
    <t>J. Petrol.</t>
  </si>
  <si>
    <t>10.1093/petrology/egm051</t>
  </si>
  <si>
    <t>281BX</t>
  </si>
  <si>
    <t>WOS:000254472500004</t>
  </si>
  <si>
    <t>Orr, A; Marshall, GJ; Hunt, JCR; Sommeria, J; Wang, CG; van Lipzig, NPM; Cresswell, D; King, JC</t>
  </si>
  <si>
    <t>Orr, Andrew; Marshall, Gareth J.; Hunt, Julian C. R.; Sommeria, Joel; Wang, Chang-Gui; van Lipzig, Nicole P. M.; Cresswell, Doug; King, John C.</t>
  </si>
  <si>
    <t>Characteristics of summer airflow over the Antarctic Peninsula in response to recent strengthening of westerly circumpolar winds</t>
  </si>
  <si>
    <t>JOURNAL OF THE ATMOSPHERIC SCIENCES</t>
  </si>
  <si>
    <t>HEMISPHERE ANNULAR MODE; STRATIFIED FLOW; CLIMATE VARIABILITY; STAGNATION POINTS; OROGRAPHIC DRAG; STABLE FLOWS; TEMPERATURES; CIRCULATION; OSCILLATION; SIMULATION</t>
  </si>
  <si>
    <t>Summer near-surface temperatures over the northeast coast of the Antarctic Peninsula have increased by more than 2 degrees C over the past 40 years, a temperature increase 3 times greater than that on the northwest coast. Recent analysis has shown a strong correlation between this striking warming trend and significant change in the summer Southern Hemisphere annular mode (SAM), which has resulted in greatly increased summer westerlies across the northern peninsula. It has been proposed that the strengthening westerlies have resulted in increased vertical deflection of relatively warm maritime air over the northern peninsula, contributing significantly to the observed warming and the recent collapse of northern sections of the Larsen Ice Shelf. In this study, laboratory and numerical modeling of airflow incident to the peninsula are employed to further understand this mechanism. It is shown that the effect of the strengthening westerlies has led to a distinct transition from a blocked regime to a flow-over regime, that is, confirmation of the proposed warming mechanism. The blocked regime is dominated by flow stagnation upstream (i.e., little vertical deflection) and consequent lateral deflection of flow along the western side of the peninsula. The flow-over regime is dominated by vertical deflection of mid/upper-level air over the peninsula, with strong downslope winds following closely to the leeward slope transporting this air (which warms adiabatically as it descends) to the near-surface of the northeast peninsula. The strong rotation typical of high latitudes considerably increases the flow over the peninsula, particularly strengthening it over the southern side (verified by aircraft measurements), suggesting that the warming trend is not solely confined to the northeast. Globally, flow regime transitions such as this may be responsible for other local climate variations.</t>
  </si>
  <si>
    <t>[Orr, Andrew; Hunt, Julian C. R.; Cresswell, Doug] UCL, Ctr Polar Observ &amp; Modelling, London, England; [Marshall, Gareth J.; King, John C.] British Antarctic Survey, NERC, Cambridge CB3 0ET, England; [Sommeria, Joel] LEGI Coriolis, Grenoble, France; [Wang, Chang-Gui] Univ Reading, Dept Meteorol, Reading, Berks, England; [van Lipzig, Nicole P. M.] Katholieke Univ Leuven, Phys &amp; Reg Geog Res Grp, Heverlee, Belgium</t>
  </si>
  <si>
    <t>University of London; University College London; UK Research &amp; Innovation (UKRI); Natural Environment Research Council (NERC); NERC British Antarctic Survey; Communaute Universite Grenoble Alpes; Institut National Polytechnique de Grenoble; Universite Grenoble Alpes (UGA); Centre National de la Recherche Scientifique (CNRS); University of Reading; KU Leuven</t>
  </si>
  <si>
    <t>Orr, A (corresponding author), ECMWF, Shinfield Rd, Reading RG2 9AX, Berks, England.</t>
  </si>
  <si>
    <t>andrew.orr@ecmwf.int</t>
  </si>
  <si>
    <t>van Lipzig, Nicole/0000-0003-2899-4046; Cresswell, Doug/0000-0001-8309-6068</t>
  </si>
  <si>
    <t>0022-4928</t>
  </si>
  <si>
    <t>1520-0469</t>
  </si>
  <si>
    <t>J ATMOS SCI</t>
  </si>
  <si>
    <t>J. Atmos. Sci.</t>
  </si>
  <si>
    <t>10.1175/2007JAS2498.1</t>
  </si>
  <si>
    <t>293VB</t>
  </si>
  <si>
    <t>hybrid, Green Published</t>
  </si>
  <si>
    <t>WOS:000255362400015</t>
  </si>
  <si>
    <t>Miller, AK; Trivelpiece, WZ</t>
  </si>
  <si>
    <t>Miller, Aileen K.; Trivelpiece, Wayne Z.</t>
  </si>
  <si>
    <t>Chinstrap penguins alter foraging and diving behavior in response to the size of their principle prey, Antarctic krill</t>
  </si>
  <si>
    <t>DIEL VERTICAL MIGRATION; EUPHAUSIA-SUPERBA; ADELIE PENGUINS; INSTRUMENT ATTACHMENT; PYGOSCELID PENGUINS; TRIP DURATION; SIGNY ISLAND; FOOD; VARIABILITY; RECRUITMENT</t>
  </si>
  <si>
    <t>Penguins may exhibit plasticity in their diving and foraging behaviors in response to changes in prey availability. Chinstrap penguins are dependent predators of Antarctic krill in the Scotia Sea region, but krill populations have fluctuated in recent years. We examined the diet of chinstrap penguins at Livingston Island, South Shetland Islands, in relation to their diving and foraging behavior using time-depth recorders over six breeding seasons: 2002-2007. When krill were smaller, more chinstrap penguins consumed fish. In these years, chinstrap penguins often exhibited a shift to deep dives after sundown, and then resumed a shallower pattern at sunrise. These night dives were unexpectedly deep (up to 110 m) and mean night dive depths sometimes exceeded those from the daytime. The average size of krill in each year was negatively correlated to mean night dive depths and the proportion of foraging trips taken overnight. Based on these patterns, we suggest that when krill were small, penguins increasingly targeted myctophid fish. The average krill size was negatively correlated to the time chinstrap penguins spent foraging which suggests that foraging on smaller krill and fish incurred a cost: more time was spent at sea foraging.</t>
  </si>
  <si>
    <t>[Miller, Aileen K.; Trivelpiece, Wayne Z.] SW Fisheries Sci Ctr, Antarctic Ecosyst Res Div, La Jolla, CA 92037 USA</t>
  </si>
  <si>
    <t>Miller, AK (corresponding author), SW Fisheries Sci Ctr, Antarctic Ecosyst Res Div, 8604 La Jolla Shores Dr, La Jolla, CA 92037 USA.</t>
  </si>
  <si>
    <t>aileen.miller@noaa.gov</t>
  </si>
  <si>
    <t>10.1007/s00227-008-0909-z</t>
  </si>
  <si>
    <t>285BD</t>
  </si>
  <si>
    <t>WOS:000254751400001</t>
  </si>
  <si>
    <t>Polito, MJ; Trivelpiece, WZ</t>
  </si>
  <si>
    <t>Polito, Michael J.; Trivelpiece, Wayne Z.</t>
  </si>
  <si>
    <t>Transition to independence and evidence of extended parental care in the gentoo penguin (Pygoscelis papua)</t>
  </si>
  <si>
    <t>KING-GEORGE-ISLAND; CHINSTRAP PENGUINS; FORAGING BEHAVIOR; SOUTH-SHETLAND; BIRD-ISLAND; ANTARCTICA; ATTACHMENT; SUCCESS; ADELIE</t>
  </si>
  <si>
    <t>We used radio telemetry and observations to study the activity patterns and behavior of gentoo penguin chicks at Admiralty Bay, King George Island, South Shetland Islands in 2005 during their fledging period; defined as the time between a chick's first trip to sea and its final dispersal from the breeding colony. Gentoo penguins exhibited delayed dispersal of young and extended parental provisioning, behaviors not observed in other Pygoscelis species. Chicks took their first trip to sea at a mean age of 70 days of age, before finally departing the colony at a mean age of 82 days. During this fledging period, individual chicks made an average of five trips to sea. Trip duration increased significantly as chicks aged, with trips to sea becoming similar to literature values of adult foraging trips in both timing and duration. Behavioral observations and mass dynamics confirmed that many chicks were still being fed during this fledging period, with parental feeding behaviors most often observed in the late afternoon to evening hours. We hypothesize that these behaviors provide an opportunity for chicks to gain experience at sea prior to dispersal and might allow them to develop foraging skills before they are completely independent.</t>
  </si>
  <si>
    <t>[Polito, Michael J.] Univ N Carolina, Dept Biol &amp; Marine Biol, Wilmington, NC 28403 USA; [Polito, Michael J.; Trivelpiece, Wayne Z.] SW Fisheries Sci Ctr, Natl Marine Fisheries Serv, Antarctic Ecosyst Res Div, La Jolla, CA 92037 USA</t>
  </si>
  <si>
    <t>University of North Carolina; University of North Carolina Wilmington; National Oceanic Atmospheric Admin (NOAA) - USA</t>
  </si>
  <si>
    <t>Polito, MJ (corresponding author), Univ N Carolina, Dept Biol &amp; Marine Biol, 601 S Coll Dr, Wilmington, NC 28403 USA.</t>
  </si>
  <si>
    <t>mjp7454@uncw.edu</t>
  </si>
  <si>
    <t>Polito, Michael/G-9118-2012</t>
  </si>
  <si>
    <t>Polito, Michael/0000-0001-8639-4431</t>
  </si>
  <si>
    <t>10.1007/s00227-008-0919-x</t>
  </si>
  <si>
    <t>WOS:000254751400004</t>
  </si>
  <si>
    <t>Teschke, M; Kawaguchi, S; Meyer, B</t>
  </si>
  <si>
    <t>Teschke, Mathias; Kawaguchi, So; Meyer, Bettina</t>
  </si>
  <si>
    <t>Effects of simulated light regimes on maturity and body composition of Antarctic krill, Euphausia superba</t>
  </si>
  <si>
    <t>MELATONIN; METABOLISM; GROWTH</t>
  </si>
  <si>
    <t>The effect of different light regimes on the development of sexual maturity and body composition (carbon, nitrogen, lipid and protein) of Antarctic krill, Euphausia superba, was studied over 12 weeks under laboratory conditions. Krill were exposed to light-cycle regimes of variable intensity to simulate Southern Ocean summer, autumn and winter conditions, respectively using: (1) continuous light (LL; 200 lux max), (2) 12-h light and 12-h darkness (LD 12:12; 50 lux max), and (3) continuous darkness (DD). The sexual maturity of female and male krill exposed to LL and LD 12:12 showed an accelerated succession of external maturity stages during the experimental period, while krill exposed to continuous darkness showed no changes in external maturity during the course of the study. Changes in the maturity development of krill between the different light regimes are reflected in changes in body composition. Krill exposed to LL and LD 12:12 showed an increase in lipid utilization, indicating that the development of external maturation may be fuelled preferentially by lipid reserves. In contrast, values of total lipid content of krill held under continuous darkness indicated an unchanged lipid catabolism during the course of the study. Thus, the maturity development of krill was affected either directly or indirectly by the different simulated light conditions. Based on these results, and observations on the effects of simulated light regimes on feeding and metabolic rates of krill available from a previous study, we suggest that the Antarctic light regime is an essential cue governing the seasonal cycle of krill physiology and maturity, and highlight the importance of this environmental factor in the life history of krill.</t>
  </si>
  <si>
    <t>[Teschke, Mathias; Meyer, Bettina] Alfred Wegener Inst Polar &amp; Marine Res, Sci Div Biol Oceanog, D-27570 Bremerhaven, Germany; [Kawaguchi, So] Australian Govt Antarctic Div, Dept Environm &amp; Water Resources, Kingston, Tas 7050, Australia</t>
  </si>
  <si>
    <t>Helmholtz Association; Alfred Wegener Institute, Helmholtz Centre for Polar &amp; Marine Research; Australian Antarctic Division</t>
  </si>
  <si>
    <t>Teschke, M (corresponding author), Alfred Wegener Inst Polar &amp; Marine Res, Sci Div Biol Oceanog, Handelshafen 12, D-27570 Bremerhaven, Germany.</t>
  </si>
  <si>
    <t>mteschke@awi-bremerhaven.de</t>
  </si>
  <si>
    <t>Meyer, Bettina/ABB-5311-2020; Kawaguchi, So/N-1795-2017</t>
  </si>
  <si>
    <t>Meyer, Bettina/0000-0001-6804-9896; Kawaguchi, So/0000-0002-2042-5095</t>
  </si>
  <si>
    <t>10.1007/s00227-008-0925-z</t>
  </si>
  <si>
    <t>WOS:000254751400012</t>
  </si>
  <si>
    <t>Fluckiger, M; Jackson, GD; Nichols, P; Virtue, P; Daw, A; Wotherspoon, S</t>
  </si>
  <si>
    <t>Fluckiger, Miriam; Jackson, George D.; Nichols, Peter; Virtue, Patti; Daw, Adam; Wotherspoon, Simon</t>
  </si>
  <si>
    <t>An experimental study of the effect of diet on the fatty acid profiles of the European Cuttlefish (Sepia officinalis)</t>
  </si>
  <si>
    <t>SQUID MOROTEUTHIS-INGENS; DIGESTIVE GLAND; SOUTHERN-OCEAN; STOMACH CONTENTS; CEPHALOPODS; FOOD; DYNAMICS; ECOLOGY; MANTLE; LIPIDS</t>
  </si>
  <si>
    <t>Fatty acid analysis is an alternative dietary investigation tool that complements the more traditional techniques of stomach content and faecal analysis that are often subject to a wide range of biases. In applying fatty acid analysis to ecosystem studies, it is important to have an understanding of the effect diet has on the fatty acid profile of the predator. A feeding experiment, using crustacean and fish as prey for the European cuttlefish Sepia officinalis, was conducted to evaluate the effect of prey fatty acids on the fatty acid profile of this marine predator. Cuttlefish were fed on a fish diet for the first 29 days, and then changed to a crustacean diet for a further 28 days. Another group of cuttlefish was fed on a crustacean diet for the first 29 days, and then changed to a fish diet for a further 28 days. An analysis of the cuttlefish digestive gland showed that the fatty acid profile reflected that of the prey, with cuttlefish on a crustacean diet being clearly distinguishable from the cuttlefish on a fish diet. Cuttlefish fed on a fish diet for 29 days prior to the switch in diet were comparatively higher in 16:0, AA, 20:1 omega 9, DPA6, DHA, 22:4 omega 6 and DPA3 than those fed on crustaceans. Cuttlefish fed on a crustacean diet for 29 days prior to the switch in diet were comparatively higher in 17:1 omega 8, 18:1 omega 9, 18:2 omega 6, 18:1 omega 7, EPA and 20:2 omega 6 than those fed on fish. Following a change in diet, the fatty acid profile of the cuttlefish digestive gland reflected that of the new diet within 14 days. The results confirm that the fatty acid profile of the cuttlefish digestive gland clearly reflects the profile of its recent diet. It also shows that the digestive gland may not be an organ that accumulates dietary lipids for long-term storage, but rather is an organ where lipids are rapidly being turned over and potentially excreted.</t>
  </si>
  <si>
    <t>[Fluckiger, Miriam; Jackson, George D.; Virtue, Patti] Univ Tasmania, Inst Antarctic &amp; So Ocean Studies, Hobart, Tas 7001, Australia; [Nichols, Peter] CSIRO Marine &amp; Atmospher Res, Hobart, Tas 7001, Australia; [Nichols, Peter] Antarctic &amp; Climate Ecosyst CRC, Hobart, Tas 7001, Australia; [Daw, Adam] Univ Texas Galveston, Med Branch, Inst Marine Biomed, Natl Resource Ctr Cephalopods, Galveston, TX 77554 USA</t>
  </si>
  <si>
    <t>University of Tasmania; Commonwealth Scientific &amp; Industrial Research Organisation (CSIRO); University of Tasmania; University of Texas System; University of Texas Medical Branch Galveston</t>
  </si>
  <si>
    <t>Fluckiger, M (corresponding author), Univ Tasmania, Inst Antarctic &amp; So Ocean Studies, Private Bag 77, Hobart, Tas 7001, Australia.</t>
  </si>
  <si>
    <t>miriamf@utas.edu.au</t>
  </si>
  <si>
    <t>Jackson, George D/AAI-7315-2021; Wotherspoon, Simon J/B-2390-2013; Nichols, Peter D/C-5128-2011</t>
  </si>
  <si>
    <t>Wotherspoon, Simon J/0000-0002-6947-4445; Virtue, Patti/0000-0002-9870-1256</t>
  </si>
  <si>
    <t>10.1007/s00227-008-0932-0</t>
  </si>
  <si>
    <t>WOS:000254751400017</t>
  </si>
  <si>
    <t>Freitas, C; Lydersen, C; Fedak, MA; Kovacs, KM</t>
  </si>
  <si>
    <t>Freitas, Carla; Lydersen, Christian; Fedak, Michael A.; Kovacs, Kit M.</t>
  </si>
  <si>
    <t>A simple new algorithm to filter marine mammal Argos locations</t>
  </si>
  <si>
    <t>MARINE MAMMAL SCIENCE</t>
  </si>
  <si>
    <t>cetaceans; location class accuracy; location errors; path filter; pinnipeds; satellite telemetry</t>
  </si>
  <si>
    <t>SEALS HALICHOERUS-GRYPUS; SOUTHERN ELEPHANT SEALS; SATELLITE-TRACKING; GRAY SEALS; TELEMETRY; ACCURACY; BEHAVIOR</t>
  </si>
  <si>
    <t>During recent decades satellite telemetry using the Argos system has been used extensively to track many species of marine mammals. However, the aquatic behavior of most of these species results in a high number of locations with low or unknown accuracy. Argos data are often filtered to reduce the noise produced by these locations, typically by removing data points requiring unrealistic swimming speeds. Unfortunately, this method excludes a considerable number of good-quality locations that have high traveling speeds that are the result of two locations being taken very close in time. We present an alternative algorithm, based on swimming speed, distance between successive locations, and turning angles. This new filter was tested on 67 tracks from nine different marine mammal species: ringed, bearded, gray, harbor, southern elephant, and Antarctic fur seals, walruses, belugas, and nar-whals. The algorithm removed similar percentages of low-quality locations (Argos location classes [LC] B and A) compared to a filter based solely on swimming speed, but preserved significantly higher percentages of good-quality positions (mean SE% of locations removed was 4.1 +/- 0.8% vs. 12.6 +/- 1.2% for LC 3; 6.8 +/- 0.6% vs. 15.7 +/- 0.9% for LC 2; and 11.4 +/- 0.7% vs. 21.0 +/- 0.97o for LC 1). The new filter was also more effective at removing unlikely, conspicuous deviations from the track's path, resulting in fewer locations being registered on land and a significant reduction in home range size, when using the Minimum Convex Polygon method, which is sensitive to outliers.</t>
  </si>
  <si>
    <t>[Freitas, Carla; Lydersen, Christian; Kovacs, Kit M.] Polar Environm Ctr, Norwegian Polar Res Inst, N-9296 Tromso, Norway; [Fedak, Michael A.] Univ St Andrews, Sch Biol, Gatty Marine Lab, NERC Sea Mammal Res Unit, St Andrews KY16 8LB, Fife, Scotland</t>
  </si>
  <si>
    <t>Norwegian Polar Institute; University of St Andrews</t>
  </si>
  <si>
    <t>Freitas, C (corresponding author), Polar Environm Ctr, Norwegian Polar Res Inst, N-9296 Tromso, Norway.</t>
  </si>
  <si>
    <t>carla@npolar.no</t>
  </si>
  <si>
    <t>Fedak, Michael/B-3987-2009</t>
  </si>
  <si>
    <t>Fedak, Michael/0000-0002-9569-1128; Freitas, Carla/0000-0002-5676-0514</t>
  </si>
  <si>
    <t>0824-0469</t>
  </si>
  <si>
    <t>MAR MAMMAL SCI</t>
  </si>
  <si>
    <t>Mar. Mamm. Sci.</t>
  </si>
  <si>
    <t>10.1111/j.1748-7692.2007.00180.x</t>
  </si>
  <si>
    <t>291BG</t>
  </si>
  <si>
    <t>WOS:000255166700005</t>
  </si>
  <si>
    <t>Mohan, R; Mergulhao, LP; Guptha, MVS; Rajakurnar, A; Thamban, M; AnilKurnar, N; Sudhakar, M; Ravindra, R</t>
  </si>
  <si>
    <t>Mohan, Rahul; Mergulhao, Lina P.; Guptha, M. V. S.; Rajakurnar, A.; Thamban, M.; AnilKurnar, N.; Sudhakar, M.; Ravindra, Rasik</t>
  </si>
  <si>
    <t>Ecology of coccolithophores in the Indian sector of the Southern Ocean</t>
  </si>
  <si>
    <t>coccolithophores; Southern Ocean; nutrients; assemblage; austral summer</t>
  </si>
  <si>
    <t>EXTANT CALCAREOUS NANNOPLANKTON; LIVING COCCOLITHOPHORES; EMILIANIA-HUXLEYI; ATLANTIC-OCEAN; SEA; EQUATORIAL; SYSTEM; PHYTOPLANKTON; MALFORMATION; SEDIMENTS</t>
  </si>
  <si>
    <t>The ecology of coccolithophores (including species' absolute abundance) in the water column (0-200 m) was studied in the Indian sector of the Southern Ocean, along the 45 degrees E meridian south of Madagascar to Antarctica, during austral summer of 2004 (January-March). Temperature, salinity and nutrient concentrations were measured to establish the relations between environmental parameters and the abundance and species composition of coccolithophore assemblages. Three assemblages were identified: subtropical, subantarctic and polar. The boundaries between the assemblages correspond to the position of the Subtropical Front (STF), the Subantarctic Front (SAF) and the Polar Front (PF). Nutrient concentrations increased from the STF to the PF, and silicate concentrations are negatively correlated to both the abundance and diversity of coccolithophore populations. In contrast, high nitrate concentrations corresponds with a high abundance of monospecific assemblages of Emiliania huxleyi at high latitudes. Poleward of the SAF, two morphotypes of E. huxleyi dominate (Type B/C and D). (C) 2007 Elsevier B.V. All rights reserved.</t>
  </si>
  <si>
    <t>[Mohan, Rahul; Thamban, M.; AnilKurnar, N.; Sudhakar, M.; Ravindra, Rasik] Natl Ctr Antarctic &amp; Ocean Res, Headland Sada 403804, Goa, India; [Rajakurnar, A.] Indian Inst Technol, Dept Chem, Kharagpur 721302, W Bengal, India; [Mergulhao, Lina P.] Natl Inst Oceanog, Panaji 403004, Goa, India; [Guptha, M. V. S.] Sagar Soc, Panaji 403004, Goa, India</t>
  </si>
  <si>
    <t>Ministry of Earth Sciences (MoES) - India; National Centre for Polar and Ocean Research (NCPOR); Indian Institute of Technology System (IIT System); Indian Institute of Technology (IIT) - Kharagpur; Council of Scientific &amp; Industrial Research (CSIR) - India; CSIR - National Institute of Oceanography (NIO)</t>
  </si>
  <si>
    <t>Mohan, R (corresponding author), Natl Ctr Antarctic &amp; Ocean Res, Headland Sada 403804, Goa, India.</t>
  </si>
  <si>
    <t>rahulmohangupta@gmail.com</t>
  </si>
  <si>
    <t>Thamban, Meloth/0000-0003-3379-8189</t>
  </si>
  <si>
    <t>10.1016/j.marmicro.2007.08.005</t>
  </si>
  <si>
    <t>291ZW</t>
  </si>
  <si>
    <t>WOS:000255237100002</t>
  </si>
  <si>
    <t>Lee, Der-Chuen</t>
  </si>
  <si>
    <t>182Hf-182W chronometry and the early evolution history in the acapulcoite-lodranite parent body</t>
  </si>
  <si>
    <t>EARLY CORE FORMATION; W ISOTOPIC EVIDENCE; RAY EXPOSURE AGES; IRON-METEORITES; TERRESTRIAL ACCRETION; INITIAL HF-182/HF-180; THERMAL METAMORPHISM; CHEMICAL-COMPOSITION; TUNGSTEN ISOTOPES; RAPID ACCRETION</t>
  </si>
  <si>
    <t>An acapulcoite, Northwest Africa (NWA) 725, a transitional acapulcoite, Graves Nunataks (GRA) 95209, and a lodranite, NWA 2235, have been studied with the short-lived chronometer (HfW)-Hf-182-W-182 system in order to better constrain the early evolution history in the acapulcoite-lodranite parent body. Unlike the more evolved achondrites originating from differentiated asteroids-e.g., eucrites and angrites-bulk rock acapulcoites and lodranite are characterized by distinct W-182 deficits relative to the terrestrial W, as well as to the undifferentiated chondrites, epsilon(w) varies from -2.7 to -2.4. This suggests that live-Hf-182 was present during the formation of acapulcoites and lodranites, and their parent body probably had never experienced a global melting event. Due to the large uncertainties associated with the isochron for each sample, the bulk isochron that regressed through the mineral separates from all 3 samples has provided the best estimate to date for the timing of metamorphism in the acapulcoite-lodranite parent body, 5 (+6/-5) Myr after the onset of the solar system. It is thus inconclusive whether acapulcoites and lodranites have shared the same petrogenetic origin, based on the Hf-W data of this study. Nevertheless, the formation of acapulcoite-lodranite clan appears to have post-dated the metal-silicate segregation in differentiated asteroids. This can be explained by a slower accretion rate for the acapulcoite-lodranite parent body, or that it had never accreted to a critical mass that could allow the metal-silicate segregation to occur naturally.</t>
  </si>
  <si>
    <t>Acad Sinica, Inst Earth Sci, Taipei 115, Taiwan</t>
  </si>
  <si>
    <t>Lee, DC (corresponding author), Acad Sinica, Inst Earth Sci, Taipei 115, Taiwan.</t>
  </si>
  <si>
    <t>Lee, Der-Chuen/0000-0001-8855-9594</t>
  </si>
  <si>
    <t>NSC; Academia Sinica of Taiwan, ROC</t>
  </si>
  <si>
    <t>NSC(Ministry of Science and Technology, Taiwan); Academia Sinica of Taiwan, ROC(Academia Sinica - Taiwan)</t>
  </si>
  <si>
    <t>The author would like to thank K. Righter of NASA for providing the Antarctic meteorite GRA 95209 for this study, W-Y. Hsu and G-N. Shih for their assistance in maintaining the Nu Plasma and the chemistry lab, and T. Lee and J. Shen for discussions. The manuscript was greatly improved by the comments of T. D. Swindle, T. Kleine, and G. Quitte. This study is supported by NSC and Academia Sinica of Taiwan, ROC.</t>
  </si>
  <si>
    <t>10.1111/j.1945-5100.2008.tb00677.x</t>
  </si>
  <si>
    <t>346BX</t>
  </si>
  <si>
    <t>WOS:000259044500003</t>
  </si>
  <si>
    <t>Brakstad, OG; Nonstad, I; Faksness, LG; Brandvik, PJ</t>
  </si>
  <si>
    <t>Brakstad, Odd Gunnar; Nonstad, Ingunn; Faksness, Liv-Guri; Brandvik, Per Johan</t>
  </si>
  <si>
    <t>Responses of microbial communities in Arctic sea ice after contamination by crude petroleum oil</t>
  </si>
  <si>
    <t>GRADIENT GEL-ELECTROPHORESIS; BACTERIAL COMMUNITIES; HYDROCARBON DEGRADATION; PSYCHROPHILIC BACTERIA; VERTICAL-DISTRIBUTION; ANTARCTIC SEAWATER; MARINE-BACTERIA; LOW-TEMPERATURE; DIESEL FUEL; GEN. NOV.</t>
  </si>
  <si>
    <t>Microbial communities associated with Arctic fjord ice polluted with petroleum oils were investigated in this study. A winter field experiment was conducted in the Van Mijen Fjord (Svalbard) from February to June 2004, in which the ice was contaminated with a North Sea paraffinic oil. Holes were drilled in the ice and oil samples frozen into the ice at the start of the experiment. Samples, including cores of both oil-contaminated and clean ice, were collected from the field site 33, 74, and 112 days after oil application. The sampled cores were separated into three sections and processed for microbiological and chemical analyses. In the oil-contaminated cores, enumerations of total prokaryotic cells by fluorescence microscopy and colony-forming units (CFU) counts of heterotrophic prokaryotes both showed stimulation of microbial growth, while concentrations of oil-degrading prokaryotes remained at similar levels in contaminated and clean ice. Analysis of polymerase chain reaction (PCR)-amplified bacterial 16S rRNA gene fragments by denaturing gradient gel electrophoresis (DGGE) revealed that bacterial communities in oil-contaminated ice generated fewer bands than communities in clean ice, although banding patterns changed both in contaminated and clean ice during the experimental period. Microbial communities in unpolluted ice and in cores contaminated with the paraffinic oil were examined by cloning and sequence analysis. In the contaminated cores, the communities became predominated by Gammaproteobacteria related to the genera Colwellia, Marinomonas, and Glaciecola, while clean ice included more heterogeneous populations. Chemical analysis of the oil-contaminated ice cores with determinations of n-C17/Pristane and naphthalene/ phenanthrene ratios indicated slow oil biodegradation in the ice, primarily in the deeper parts of the ice with low hydrocarbon concentrations.</t>
  </si>
  <si>
    <t>[Brakstad, Odd Gunnar; Brandvik, Per Johan] SINTEF Mat &amp; Chem, Div Marine Environm Technol, N-7465 Trondheim, Norway; [Nonstad, Ingunn] Norwegian Univ Sci &amp; Technol, Dept Biotechnol, N-7034 Trondheim, Norway; [Faksness, Liv-Guri] Univ Ctr Svalbard, Dept Artic Technol, Longyearbyen, Norway</t>
  </si>
  <si>
    <t>SINTEF; Norwegian University of Science &amp; Technology (NTNU); University Centre Svalbard (UNIS)</t>
  </si>
  <si>
    <t>Brakstad, OG (corresponding author), SINTEF Mat &amp; Chem, Div Marine Environm Technol, Brattorkaia 17B, N-7465 Trondheim, Norway.</t>
  </si>
  <si>
    <t>odd.g.brakstad@sintef.no</t>
  </si>
  <si>
    <t>Faksness, Liv-Guri/0000-0002-4077-4946</t>
  </si>
  <si>
    <t>1432-184X</t>
  </si>
  <si>
    <t>10.1007/s00248-007-9299-x</t>
  </si>
  <si>
    <t>274IM</t>
  </si>
  <si>
    <t>WOS:000253995000017</t>
  </si>
  <si>
    <t>Bagis, H; Akkoq, T; Tas, A; Aktoprakligil, D</t>
  </si>
  <si>
    <t>Bagis, Haydar; Akkoq, Tolga; Tas, Arzu; Aktoprakligil, Digdem</t>
  </si>
  <si>
    <t>Cryogenic effect of antifreeze protein on transgenic mouse ovaries and the production of live offspring by orthotopic transplantation of cryopreserved mouse ovaries</t>
  </si>
  <si>
    <t>MOLECULAR REPRODUCTION AND DEVELOPMENT</t>
  </si>
  <si>
    <t>transgenic mouse; antifreeze protein; ovary; cryopreservation; vitrification; transplantation</t>
  </si>
  <si>
    <t>THERMAL HYSTERESIS PROTEINS; PRONUCLEAR-STAGE EMBRYOS; SOLID-SURFACE SSV; ANTARCTIC FISHES; HYPOTHERMIC STORAGE; EQUILIBRATION TIME; OCEAN POUT; IN-VITRO; ICE; VITRIFICATION</t>
  </si>
  <si>
    <t>The purpose of the present study was to evaluate the cryogenic effect of antifreeze protein (AFP) on transgenic mouse ovaries which is expressed AFP type III from Ocean pout and the production of live offspring by orthotopic transplantation of cryopreserved mouse ovaries. In this study, whole transgenic and nontransgenic mouse ovaries were vitrified with 20% DMSO and 20% EG in M2 medium supplemented with 0.5 M sucrose. All vitrified and toxicity control and fresh ovaries were transplanted orthotopically into ovariectornized recipients bilaterally. For fresh ovaries transplantation, 5 mice delivered litters of 18 and 19 live pups in first and second matings, respectively. For toxicity control of chemicals, 6 mice delivered litters of 22 and 23 live pups. For nontransgenic mouse ovaries (vitrified) transplantation, 7 mice delivered litters of 22 and 23 live pups. For transgenic mouse ovaries (vitrified) transplantation, 10 mice delivered litters of 35 and 37 live pups. Litter sizes from pups of freshly transplanted ovaries were not significantly different from AFP-transplanted transgenic ovaries but those from nontransgenic-transplanted ovaries were significantly different from the AFP-transplanted transgenic ovaries group (P &lt; 0.05). In this study, for the first time, it was shown that the ovarian tissue of AFP transgenic mice was protected from cryopreservation by vitrification. These results demonstrate that a normal reproductive lifespan can be restored by orthotopic transplantation of AFP transgenic-vitrified ovary.</t>
  </si>
  <si>
    <t>[Bagis, Haydar; Akkoq, Tolga; Tas, Arzu; Aktoprakligil, Digdem] TUBITAK, MRC, GEBI, Transgen Core Facil, TR-41470 Gebze, Turkey</t>
  </si>
  <si>
    <t>Turkiye Bilimsel ve Teknolojik Arastirma Kurumu (TUBITAK); Gebze Technical University</t>
  </si>
  <si>
    <t>Bagis, H (corresponding author), TUBITAK, MRC, GEBI, Transgen Core Facil, POB 21, TR-41470 Gebze, Turkey.</t>
  </si>
  <si>
    <t>haydar.bagis@mam.gov.tr</t>
  </si>
  <si>
    <t>Aktoprakligil Aksu, Diğdem/AAE-9457-2022; BAĞIŞ/V-3827-2017; Aktoprakligil Aksu, Diğdem/AFD-8579-2022</t>
  </si>
  <si>
    <t>Aktoprakligil Aksu, Diğdem/0000-0001-9125-2454; Aktoprakligil Aksu, Diğdem/0000-0001-9125-2454; TAS EKIZ, Arzu/0000-0003-2991-6322</t>
  </si>
  <si>
    <t>WILEY-LISS</t>
  </si>
  <si>
    <t>DIV JOHN WILEY &amp; SONS INC, 111 RIVER ST, HOBOKEN, NJ 07030 USA</t>
  </si>
  <si>
    <t>1040-452X</t>
  </si>
  <si>
    <t>MOL REPROD DEV</t>
  </si>
  <si>
    <t>Mol. Reprod. Dev.</t>
  </si>
  <si>
    <t>10.1002/mrd.20799</t>
  </si>
  <si>
    <t>Biochemistry &amp; Molecular Biology; Cell Biology; Developmental Biology; Reproductive Biology</t>
  </si>
  <si>
    <t>269QZ</t>
  </si>
  <si>
    <t>WOS:000253665400005</t>
  </si>
  <si>
    <t>Valkonen, T; Vihma, T; Doble, M</t>
  </si>
  <si>
    <t>Valkonen, Teresa; Vihma, Timo; Doble, Martin</t>
  </si>
  <si>
    <t>Mesoscale modeling of the atmosphere over Antarctic sea ice: A late-autumn case study</t>
  </si>
  <si>
    <t>MONTHLY WEATHER REVIEW</t>
  </si>
  <si>
    <t>NUMERICAL WEATHER PREDICTION; POLAR MM5 SIMULATIONS; WEDDELL SEA; BOUNDARY-LAYER; ARCTIC LEADS; SURFACE HEAT; BALTIC SEA; ADELIE-LAND; SYSTEM AMPS; FLUXES</t>
  </si>
  <si>
    <t>Atmospheric flow over Antarctic sea ice was simulated applying a polar version of the fifth-generation Pennsylvania State University-National Center for Atmospheric Research Mesoscale Model (Polar MM5). The simulation period in late autumn lasted for 48 h, starting as northerly warm airflow over the Weddell Sea ice cover and turning to a southwesterly cold-air outbreak. The model results were validated against atmospheric pressure and wind and air temperature observations made by five buoys drifting with the sea ice. Four different satellite-derived sea ice concentration datasets were applied to provide lower boundary conditions for Polar MM5. During the period of the cold-air outbreak, the modeled air temperatures were highly sensitive to the sea ice concentration: the largest differences in the modeled 2-m air temperature reached 13 degrees C. The experiments applying sea ice concentration data based on the bootstrap and Arctic Radiation and Turbulence Interaction Study (ARTIST) algorithms yielded the best agreement with observations. The cumulative fetch over open water correlated with the bias of the modeled air temperature. The sea ice concentration data affected the simulated air temperature in the lower atmospheric boundary layer, but above it the temperature and wind fields were more strongly controlled by the boundary layer scheme applied in Polar MM5. Analysis nudging applying four-dimensional data assimilation had a positive effect on the pressure and wind fields but negative or no effect on the air temperature fields. The results suggest that applying a sea ice model to update sea ice fields frequently throughout atmospheric model simulations will likely lead to important improvements in forecasts.</t>
  </si>
  <si>
    <t>[Vihma, Timo] Finnish Meteorol Inst, FIN-00101 Helsinki, Finland; [Doble, Martin] Univ Cambridge, Dept Appl Math &amp; Theoret Phys, Cambridge CB3 9EW, England; [Valkonen, Teresa] Univ Helsinki, Dept Phys, Helsinki, Finland</t>
  </si>
  <si>
    <t>Finnish Meteorological Institute; University of Cambridge; University of Helsinki</t>
  </si>
  <si>
    <t>Vihma, T (corresponding author), Finnish Meteorol Inst, POB 503, FIN-00101 Helsinki, Finland.</t>
  </si>
  <si>
    <t>timo.vihma@fmi.fi</t>
  </si>
  <si>
    <t>Doble, Martin J/A-9915-2012; Vihma, Timo/ABC-9771-2020</t>
  </si>
  <si>
    <t>Doble, Martin/0000-0001-8185-6510</t>
  </si>
  <si>
    <t>0027-0644</t>
  </si>
  <si>
    <t>MON WEATHER REV</t>
  </si>
  <si>
    <t>Mon. Weather Rev.</t>
  </si>
  <si>
    <t>10.1175/2007MWR2242.1</t>
  </si>
  <si>
    <t>293RK</t>
  </si>
  <si>
    <t>WOS:000255352200011</t>
  </si>
  <si>
    <t>Wirtz, N; Printzen, C; Lumbsch, HT</t>
  </si>
  <si>
    <t>Wirtz, Nora; Printzen, Christian; Lumbsch, H. Thorsten</t>
  </si>
  <si>
    <t>The delimitation of Antarctic and bipolar species of neuropogonoid Usnea (Ascomycota, Lecanorales):: a cohesion approach of species recognition for the Usnea perpusilla complex</t>
  </si>
  <si>
    <t>MYCOLOGICAL RESEARCH</t>
  </si>
  <si>
    <t>bipolar; cohesion species concept; Neuropogon; species complex; species delimitation; taxonomy; Usnea</t>
  </si>
  <si>
    <t>PHENOTYPIC ASSOCIATIONS; CLADISTIC-ANALYSIS; LICHENS PARMELIACEAE; PARMELIOID LICHENS; BAYESIAN-INFERENCE; PHYLOGENY; DNA; CLASSIFICATION; RECOMBINATION; EVOLUTION</t>
  </si>
  <si>
    <t>Species of the Neuropogon group in the lichen genus Usnea have their Centre of distribution in polar regions of the Southern Hemisphere. Their morphological and chemical variability is poorly understood and several asexual taxa with uncertain relationships to fertile taxa occur in the group. The species concept is controversial. A phylogenetic analysis revealed three related complexes of mainly asexual lineages arranged around three fertile Usnea species: U. aurantiaco-atra, U. trachycarpa and U. perpusilla. In this study a dataset of 80 specimens was used to resolve species circumscriptions in the U. perpusilla complex. We used a phylogenetic and a haplotype network approach based on three gene fragments (ITS, IGS and RPB1) to detect distinct lineages. To support the hypothesis that these lineages represent different species, we tested for correlation of morphological and chemical characters with hierarchical nested haplotype groups, employing statistical tests of contingency tables and analysis of variance (ANOVA). This cohesion species recognition method detected three fertile U. perpusilla lineages. We could also delimit an undescribed fertile species with yellow apothecia and a new asexual species from the High Andes. Interestingly, there is an additional bipolar species, U. lambii, which was formerly confused with U. sphacelata. The fact that U. lambii shows a geographically disjunct distribution pattern, but the genetic distances among specimens are low, points to recent long-distance dispersal. (C) 2007 The British Mycological Society. Published by Elsevier Ltd. All rights reserved.</t>
  </si>
  <si>
    <t>[Wirtz, Nora; Printzen, Christian] Forschungsinst Senckenberg, Abt Bot &amp; Mol Evolutionsforsch, D-60325 Frankfurt, Germany; [Wirtz, Nora; Lumbsch, H. Thorsten] Field Museum Nat Hist, Dept Bot, Chicago, IL 60605 USA</t>
  </si>
  <si>
    <t>Senckenberg Gesellschaft fur Naturforschung (SGN); Field Museum of Natural History (Chicago)</t>
  </si>
  <si>
    <t>Wirtz, N (corresponding author), Forschungsinst Senckenberg, Abt Bot &amp; Mol Evolutionsforsch, Senckenberganlage 25, D-60325 Frankfurt, Germany.</t>
  </si>
  <si>
    <t>nwirtz@arcor.de</t>
  </si>
  <si>
    <t>Printzen, Christian/ABF-8242-2021; Lumbsch, Thorsten/K-3573-2012</t>
  </si>
  <si>
    <t>Lumbsch, Thorsten/0000-0003-1512-835X</t>
  </si>
  <si>
    <t>0953-7562</t>
  </si>
  <si>
    <t>MYCOL RES</t>
  </si>
  <si>
    <t>Mycol. Res.</t>
  </si>
  <si>
    <t>10.1016/j.mycres.2007.05.006</t>
  </si>
  <si>
    <t>298MX</t>
  </si>
  <si>
    <t>WOS:000255692900006</t>
  </si>
  <si>
    <t>Cannon, PF; Buddie, AG; Bridge, PD</t>
  </si>
  <si>
    <t>Cannon, Paul F.; Buddie, Alan G.; Bridge, Paul D.</t>
  </si>
  <si>
    <t>The typification of Colletotrichum gloeosporioides</t>
  </si>
  <si>
    <t>MYCOTAXON</t>
  </si>
  <si>
    <t>Citrus; phylogeny; plant pathology; species concepts</t>
  </si>
  <si>
    <t>IWOKRAMA-FOREST-RESERVE; BERRY DISEASE PATHOGEN; MOLECULAR CHARACTERIZATION; GENETIC DIVERSITY; ANTHRACNOSE; IDENTIFICATION; STYLOSANTHES; ACUTATUM; STRAWBERRY; TRUNCATUM</t>
  </si>
  <si>
    <t>The anamorphic species Colletotrichum gloeosporioides has never been adequately typified according to modern nomenclatural practice, resulting in uncertainty as to application of the named A lectotype specimen is therefore designated to preserve current usage, with an epitype also chosen as eligible lectotype material is not preserved in a living state. The epitype strain is described and characterized using morphological and molecular methods. There are three distinct rDNA ITS sequences of the epitype strain in GENBANK, so it has been re-sequenced to confirm the true base-pair structure.</t>
  </si>
  <si>
    <t>[Cannon, Paul F.; Buddie, Alan G.] CABI Europe UK, Egham TW20 9TY, Surrey, England; [Bridge, Paul D.] British Antarctic Survey, NERC High Cross, Cambridge CB3 0ET, England</t>
  </si>
  <si>
    <t>Cannon, PF (corresponding author), CABI Europe UK, Bakeham Lane, Egham TW20 9TY, Surrey, England.</t>
  </si>
  <si>
    <t>p.cannon@cabi.org</t>
  </si>
  <si>
    <t>Khor, Beesym/B-2832-2010</t>
  </si>
  <si>
    <t>MYCOTAXON LTD</t>
  </si>
  <si>
    <t>ITHACA</t>
  </si>
  <si>
    <t>PO BOX 264, ITHACA, NY 14851-0264 USA</t>
  </si>
  <si>
    <t>0093-4666</t>
  </si>
  <si>
    <t>Mycotaxon</t>
  </si>
  <si>
    <t>APR-JUN</t>
  </si>
  <si>
    <t>320YX</t>
  </si>
  <si>
    <t>WOS:000257272200028</t>
  </si>
  <si>
    <t>Horne, RB; Thorne, RM; Glauert, SA; Menietti, JD; Shprits, YY; Gurnett, DA</t>
  </si>
  <si>
    <t>Horne, Richard B.; Thorne, Richard M.; Glauert, Sarah A.; Menietti, J. Douglas; Shprits, Yuri Y.; Gurnett, Donald A.</t>
  </si>
  <si>
    <t>Gyro-resonant electron acceleration at Jupiter</t>
  </si>
  <si>
    <t>NATURE PHYSICS</t>
  </si>
  <si>
    <t>RELATIVISTIC ELECTRONS; IO TORUS; RADIATION; DIFFUSION; DISTRIBUTIONS; SCATTERING</t>
  </si>
  <si>
    <t>According to existing theory, electrons are accelerated up to ultra-relativistic energies(1) inside Jupiter's magnetic field by betatron and Fermi processes as a result of radial diffusion towards the planet and conservation of the first two adiabatic invariants(2-4). Recently, it has been shown that gyro-resonant electron acceleration by whistler-mode waves(5,6) is a major, if not dominant(7), process for accelerating electrons inside the Earth's outer radiation zone, and has redefined our concept for producing the Van Allen radiation belts(8). Here, we present a survey of data from the Galileo spacecraft at Jupiter, which shows that intense whistler-mode waves are observed outside the orbit of the moon Io and, using Fokker-Planck simulations, are strong enough to accelerate electrons to relativistic energies on timescales comparable to that for electron transport. Gyroresonant acceleration is most effective between 6 and 12 jovian radii (R-j) and provides the missing step in the production of intense synchrotron radiation from Jupiter(1,9).</t>
  </si>
  <si>
    <t>[Horne, Richard B.; Glauert, Sarah A.] British Antarctic Survey, Cambridge CB3 0ET, England; [Thorne, Richard M.; Shprits, Yuri Y.] Univ Calif Los Angeles, Dept Atmospher &amp; Ocean Sci, Los Angeles, CA 90095 USA; [Menietti, J. Douglas; Gurnett, Donald A.] Univ Iowa, Dept Phys &amp; Astron, Iowa City, IA 52242 USA</t>
  </si>
  <si>
    <t>UK Research &amp; Innovation (UKRI); Natural Environment Research Council (NERC); NERC British Antarctic Survey; University of California System; University of California Los Angeles; University of Iowa</t>
  </si>
  <si>
    <t>Horne, RB (corresponding author), British Antarctic Survey, Madingley Rd, Cambridge CB3 0ET, England.</t>
  </si>
  <si>
    <t>R.Horne@bas.ac.uk</t>
  </si>
  <si>
    <t>Horne, Richard B/U-3764-2019; Shprits, Yuri Y/I-2174-2014</t>
  </si>
  <si>
    <t>Horne, Richard B/0000-0002-0412-6407; Shprits, Yuri/0000-0002-9625-0834</t>
  </si>
  <si>
    <t>1745-2473</t>
  </si>
  <si>
    <t>1745-2481</t>
  </si>
  <si>
    <t>NAT PHYS</t>
  </si>
  <si>
    <t>Nat. Phys.</t>
  </si>
  <si>
    <t>10.1038/nphys897</t>
  </si>
  <si>
    <t>292DT</t>
  </si>
  <si>
    <t>WOS:000255247400016</t>
  </si>
  <si>
    <t>le Roux, PC; McGeoch, MA</t>
  </si>
  <si>
    <t>le Roux, Peter C.; McGeoch, Melodie A.</t>
  </si>
  <si>
    <t>Spatial variation in plant interactions across a severity gradient in the sub-Antarctic</t>
  </si>
  <si>
    <t>OECOLOGIA</t>
  </si>
  <si>
    <t>altitudinal gradient; cinder cone; facilitation; spatial association; stress-gradient hypothesis</t>
  </si>
  <si>
    <t>CHILEAN PATAGONIAN ANDES; POSITIVE INTERACTIONS; MARION ISLAND; ARID ENVIRONMENTS; ABIOTIC STRESS; FACILITATION; ALPINE; COMMUNITIES; VEGETATION; METAANALYSIS</t>
  </si>
  <si>
    <t>The stress-gradient hypothesis predicts that the intensity of interspecific positive interactions increases along environmental severity (i.e. stress and disturbance) gradients faster than the intensity of negative interactions. This study is the first to test if the stress-gradient hypothesis is supported for a location in the climatically extreme and species-poor sub-Antarctic. To do so, we investigate the fine-scale spatial distribution of plant species across altitude- and aspect-related abiotic severity gradients on a scoria cone on Marion Island. A clear altitudinal severity gradient was observed across the scoria cone, with lower temperatures, stronger winds and greater soil movement at higher altitudes. The altitudinal severity gradient was matched by stronger interspecific spatial association between the four dominant species at higher altitudes and in areas of lower vegetation cover. This suggests that, relative to the intensity of competition, the intensity of facilitation is greater under more severe conditions, supporting the stress-gradient hypothesis at the community level (i.e. for multiple pairs of species) and corroborating its usefulness for predicting variation in plant interactions at high latitudes and altitudes. Furthermore, the directional intraspecific aggregation and interspecific association plant cover patterns found within the gradient suggest that protection from the prevailing wind and from burial by loose substrate are the dominant facilitative mechanisms. Thus, plants benefit from the presence of neighbours when they provide shelter and substrate stability, and the relative intensity of this positive interaction is greatest at higher altitudes, and varies between species pairs. This study, therefore, not only provides support for the stress-gradient hypothesis in the sub-Antarctic, but also demonstrates fine-scale directional spatial patterns between multiple species nested within the severity gradient.</t>
  </si>
  <si>
    <t>[le Roux, Peter C.; McGeoch, Melodie A.] Univ Stellenbosch, Dept Conservat Ecol &amp; Entomol, ZA-7602 Matieland, South Africa</t>
  </si>
  <si>
    <t>le Roux, PC (corresponding author), Univ Stellenbosch, Dept Conservat Ecol &amp; Entomol, Private Bag X1, ZA-7602 Matieland, South Africa.</t>
  </si>
  <si>
    <t>pleroux@sun.ac.za</t>
  </si>
  <si>
    <t>le Roux, Peter Christiaan/E-7784-2011; McGeoch, Melodie/F-8353-2011</t>
  </si>
  <si>
    <t>le Roux, Peter Christiaan/0000-0002-7941-7444; McGeoch, Melodie/0000-0003-3388-2241</t>
  </si>
  <si>
    <t>0029-8549</t>
  </si>
  <si>
    <t>Oecologia</t>
  </si>
  <si>
    <t>10.1007/s00442-007-0954-1</t>
  </si>
  <si>
    <t>277TX</t>
  </si>
  <si>
    <t>WOS:000254238700016</t>
  </si>
  <si>
    <t>Usui, Y; Hiramatsu, Y; Furumoto, M; Kanao, M</t>
  </si>
  <si>
    <t>Usui, Yusuke; Hiramatsu, Yoshihiro; Furumoto, Muneyoshi; Kanao, Masaki</t>
  </si>
  <si>
    <t>Evidence of seismic anisotropy and a lower temperature condition in the D layer beneath Pacific Antarctic Ridge in the Antarctic Ocean</t>
  </si>
  <si>
    <t>PHYSICS OF THE EARTH AND PLANETARY INTERIORS</t>
  </si>
  <si>
    <t>D '' layer; anisotropy; discontinuity; paleo-subduction; temperature; geomagnetic field</t>
  </si>
  <si>
    <t>POST-PEROVSKITE PHASE; CORE-MANTLE BOUNDARY; SHEAR VELOCITY STRUCTURE; DEEP-MANTLE; SYNTHETIC SEISMOGRAMS; LATERAL VARIATIONS; CENTRAL-AMERICA; NORTH PACIFIC; EARTHS MANTLE; INDIAN-OCEAN</t>
  </si>
  <si>
    <t>We examine shear waves of 23 deep earthquakes in south Pacific subduction zones recorded at the Syowa station in Antarctica to study the anisotropy and velocity structure of shear waves in the D '' layer beneath Pacific Antarctic Ridge (PAR) in the Antarctic Ocean. We observe earlier arrivals of transverse components (SH) than those of longitudinal components (SV) for S waves passing through the D '' layer and Scd phases due to the D '' discontinuity that has been reported beneath circum Pacific regions. We find that the optimum shear wave velocity structure in the D '' layer is transversely isotropic from waveform modeling and the differential travel time analysis among S, ScS and SKS phases. The SH velocity structure has a 2.0% velocity discontinuity at about 350 km above the core-mantle boundary. The SV structure is similar to PREM. The anisotropic D '' layer, V-SV &lt; V-SH, beneath the Antarctic Ocean is significantly thicker than those beneath Alaska and the Caribbean Sea. We interpret that the amount of deposited paleo-slab material controls the variation in the thickness of the D '' layer. The difference of the thickness of the D '' layer, together with recent experimental and theoretical results of the phase transition from perovskite to postperovskite, means that the D '' layer beneath PAR is 1330-1000 K colder than that beneath Alaska. The cold mantle beneath PAR corresponds to the location of stationary patches of intense geomagnetic field in the southern hemisphere. This coincidence suggests the existence of the core-mantle interactions. (C) 2008 Elsevier B.V. All rights reserved.</t>
  </si>
  <si>
    <t>[Usui, Yusuke; Hiramatsu, Yoshihiro] Kanazawa Univ, Grad Sch Nat Sci &amp; Technol, Kanazawa, Ishikawa 9201192, Japan; [Furumoto, Muneyoshi] Nagoya Univ, Grad Sch Environm Studies, Chikusa Ku, Nagoya, Aichi 4648601, Japan; [Kanao, Masaki] Res Org Informat &amp; Syst, Natl Inst Polar Res, Dept Earth Sci, Itabashi Ku, Tokyo 1738515, Japan</t>
  </si>
  <si>
    <t>Kanazawa University; Nagoya University; Research Organization of Information &amp; Systems (ROIS); National Institute of Polar Research (NIPR) - Japan</t>
  </si>
  <si>
    <t>Usui, Y (corresponding author), Ehime Univ, Geodynam Res Ctr, 2-5 Bunkyo Cho, Matsuyama, Ehime 7908577, Japan.</t>
  </si>
  <si>
    <t>usui@sci.ehime-u.ac.jp</t>
  </si>
  <si>
    <t>Hiramatsu, Yoshihiro/AAJ-1987-2020</t>
  </si>
  <si>
    <t>Hiramatsu, Yoshihiro/0000-0001-9874-5059</t>
  </si>
  <si>
    <t>0031-9201</t>
  </si>
  <si>
    <t>1872-7395</t>
  </si>
  <si>
    <t>PHYS EARTH PLANET IN</t>
  </si>
  <si>
    <t>Phys. Earth Planet. Inter.</t>
  </si>
  <si>
    <t>10.1016/j.pepi.2008.04.006</t>
  </si>
  <si>
    <t>322HC</t>
  </si>
  <si>
    <t>WOS:000257364800008</t>
  </si>
  <si>
    <t>Benoit, JB; Yoder, JA; Lopez-Martinez, G; Elnitsky, MA; Lee, RE; Denlinger, DL</t>
  </si>
  <si>
    <t>Benoit, J. B.; Yoder, J. A.; Lopez-Martinez, G.; Elnitsky, M. A.; Lee, R. E., Jr.; Denlinger, D. L.</t>
  </si>
  <si>
    <t>Adaptations for the maintenance of water balance by three species of Antarctic mites</t>
  </si>
  <si>
    <t>mite; water balance; cuticular hydrocarbons; critical transition temperature; Antarctica</t>
  </si>
  <si>
    <t>ALASKOZETES-ANTARCTICUS; CRYPTOPYGUS-ANTARCTICUS; CUTICULAR PERMEABILITY; COLD TOLERANCE; TEMPERATURE; ACARI; COLLEMBOLAN; ARTHROPODS; COMPONENTS; FOOD</t>
  </si>
  <si>
    <t>Three species of Antarctic mites, Alaskozetes antarcticus, Hydrogamasellus antarcticus and Rhagidia gerlachei, are abundant in the vicinity of Palmer Station, Antarctica. No single mechanism for reducing water stress was shared by all three species. A. antarcticus and R. gerlachei (both ca. 200 mu g) are over twice as large as H. antarcticus (ca. 90 mu), but all had similar body water content (67%) and tolerated a loss Of LIP to 35% of their body water before succumbing to dehydration. All imbibed free water and had the capacity to reduce water loss behaviorally by forming clusters. Alaskozetes antarcticus was distinct in that it relied heavily on water conservation (xerophilic classification) that was largely achieved by its thick cuticular armor, a feature shared by all members of this suborder (Oribatida), and abundant cuticular hydrocarbons. In comparison to the other two species, A. antarcticus was coated with 2-3x the amount of cuticular hydrocarbons, had a 20-fold reduction in net transpiration rate, and had a critical transition temperature (CTT) that indicates a pronounced suppression in activation energy (,E,) at temperatures below 25 degrees C. In contrast, H. antarcticus and R. gerlachei lack a CTT, have lower amounts of cuticular hydrocarbons and have low E(a)s and high net transpiration rates, classifying them as hydrophilic. Only H. antarcticus was capable of utilizing water vapor to replenish its water stores, but it could do so only at relative humidities close to saturation (95-98 %RH). Thus, H. antarcticus and R. gerlachei require wet habitats and low temperature to counter water loss, and replace lost water behaviorally through predation. Compared to mites from the temperate zone, all three Antarctic species had a lower water content, a feature that commonly enhances cold tolerance.</t>
  </si>
  <si>
    <t>[Benoit, J. B.; Lopez-Martinez, G.; Denlinger, D. L.] Ohio State Univ, Dept Entomol, Columbus, OH 43210 USA; [Yoder, J. A.] Wittenberg Univ, Dept Biol, Springfield, OH 45501 USA; [Elnitsky, M. A.; Lee, R. E., Jr.] Miami Univ, Dept Zool, Oxford, OH 45056 USA</t>
  </si>
  <si>
    <t>University System of Ohio; Ohio State University; University System of Ohio; Wittenberg University; University System of Ohio; Miami University</t>
  </si>
  <si>
    <t>Benoit, JB (corresponding author), Ohio State Univ, Dept Entomol, 318 W 12th Ave, Columbus, OH 43210 USA.</t>
  </si>
  <si>
    <t>benoit.8@osu.edu</t>
  </si>
  <si>
    <t>10.1007/s00300-007-0385-9</t>
  </si>
  <si>
    <t>281HG</t>
  </si>
  <si>
    <t>WOS:000254486900002</t>
  </si>
  <si>
    <t>Meyer-Rochow, VB; Shimoyama, A</t>
  </si>
  <si>
    <t>Meyer-Rochow, Victor Benno; Shimoyama, Ayu</t>
  </si>
  <si>
    <t>UV-reflecting and absorbing body regions in gentoo and king penguin: Can they really be used by the penguins as signals for conspecific recognition?</t>
  </si>
  <si>
    <t>vision; UV; Antarctic; courtship; spectral sensitivity; colour vision</t>
  </si>
  <si>
    <t>ULTRAVIOLET VISION; VISUAL PIGMENTS; BIRDS; YELLOW; BEAK</t>
  </si>
  <si>
    <t>Photographs of gentoo and king penguins were taken in the field on a bright and sunny day first in colour (here reproduced in black and white) and then, seconds later, through a filter that transmits only UV radiation and blocks all visible light. Because of the lower light intensity and different focal point of UV, it is unavoidable that the UV photographs turn out less sharp and less well focused than photographs taken with visible light. Comparisons of the two sets of photographs show that king penguins with white (but not yellow or orange) auricular patches reflect UV from these areas. Furthermore, the beaks of juvenile gentoo penguins, but not those of the adults, are UV reflectant. The findings are discussed in view of recent Suggestions that UV reflection in penguins could be part of a communication system. However, this paper argues that as long as UV perception in penguins has not been demonstrated, UV reflection in penguins ought to be seen as an associative phenomenon with no significance to penguin behaviour.</t>
  </si>
  <si>
    <t>[Meyer-Rochow, Victor Benno; Shimoyama, Ayu] Jacobs Univ, Fac Sci &amp; Engn, D-28725 Bremen, Germany</t>
  </si>
  <si>
    <t>Jacobs University</t>
  </si>
  <si>
    <t>Meyer-Rochow, VB (corresponding author), Jacobs Univ, Fac Sci &amp; Engn, POB 750561, D-28725 Bremen, Germany.</t>
  </si>
  <si>
    <t>b.meyer-rochow@jacobs-university.de</t>
  </si>
  <si>
    <t>MEYER-ROCHOW, Victor Benno/AAJ-7258-2020</t>
  </si>
  <si>
    <t>MEYER-ROCHOW, V. Benno/0000-0003-1531-9244</t>
  </si>
  <si>
    <t>10.1007/s00300-007-0387-7</t>
  </si>
  <si>
    <t>WOS:000254486900004</t>
  </si>
  <si>
    <t>Tanimura, A; Hattori, H; Miyamoto, Y; Hoshiai, T; Fukuchi, M</t>
  </si>
  <si>
    <t>Tanimura, Atsushi; Hattori, Hiroshi; Miyamoto, Yoshinori; Hoshiai, Takao; Fukuchi, Mitsuo</t>
  </si>
  <si>
    <t>Diel changes in vertical distribution of Oithona similis (Cyclopoida) and Oncaea curvata (Poecilostomatoida) under sea ice in mid-summer near Syowa Station, Antarctica</t>
  </si>
  <si>
    <t>Oithona; Oncaea; fastice vertical migration; Syowa station</t>
  </si>
  <si>
    <t>SOUTHERN-OCEAN SOUTH; EASTERN WEDDELL SEA; SEASONAL SUCCESSION; MCMURDO SOUND; COPEPODS; ZOOPLANKTON; MIGRATION; ABUNDANCE; COMMUNITY; CRUSTACEA</t>
  </si>
  <si>
    <t>The diel vertical distributions of two small copepods, Oithona similis and Oncaea curvata, were investigated at 4-h intervals over a 24-h period under fast ice near Syowa Station during continuous daylight conditions in the Antarctic mid-summer, December 1993. Oithona similis and O. curvata exhibited small-scale diel vertical migrations during the study period, in a way opposite to what is expected, i.e., remaining mostly in the upper layer during the day and moving into deeper layers at night. The nighttime descent of both species coincided with the time of disappearance of a high algal concentration at the ice-water interface during the day and an increase of the algal concentration in the mid-water layer at night. This suggests the migration behavior of the copepods was responsible for the change of food availability. The daily grazing impact of these copepods was estimated to remove one-third of the algae daily released from ice during mid-summer at Syowa Station.</t>
  </si>
  <si>
    <t>[Tanimura, Atsushi] Mie Univ, Tsu, Mie 5148507, Japan; [Hattori, Hiroshi] Hokkaido Tokai Univ, Sapporo, Hokkaido 0058601, Japan; [Miyamoto, Yoshinori] Tokyo Univ Marine Sci &amp; Technol, Minato Ku, Tokyo 1088477, Japan; [Hoshiai, Takao; Fukuchi, Mitsuo] Natl Inst Polar Res, Itabashi Ku, Tokyo 1738515, Japan</t>
  </si>
  <si>
    <t>Mie University; Tokai University; Tokyo University of Marine Science &amp; Technology; Research Organization of Information &amp; Systems (ROIS); National Institute of Polar Research (NIPR) - Japan</t>
  </si>
  <si>
    <t>Tanimura, A (corresponding author), Mie Univ, 1577 Kurimamachiya Cho, Tsu, Mie 5148507, Japan.</t>
  </si>
  <si>
    <t>tanimura@bio.mie-u.ac.jp</t>
  </si>
  <si>
    <t>MIYAMOTO, Yoshinori/O-1920-2014</t>
  </si>
  <si>
    <t>10.1007/s00300-007-0388-6</t>
  </si>
  <si>
    <t>WOS:000254486900005</t>
  </si>
  <si>
    <t>Makhado, AB; Bester, MN; Kirkman, SP; Pistorius, PA; Ferguson, JWH; Klages, NTW</t>
  </si>
  <si>
    <t>Makhado, A. B.; Bester, M. N.; Kirkman, S. P.; Pistorius, P. A.; Ferguson, J. W. H.; Klages, N. T. W.</t>
  </si>
  <si>
    <t>Prey of the antarctic fur seal Arctocephalus gazella at Marion Island</t>
  </si>
  <si>
    <t>Arctocephalus gazella; otoliths; prey species; frequency of occurrence; numerical abundance</t>
  </si>
  <si>
    <t>SUMMER-AUTUMN PERIOD; SOUTH SHETLAND; FISH PREY; ATTENDANCE BEHAVIOR; FOOD-CONSUMPTION; POPULATION SIZES; BREEDING-SEASON; LAURIE ISLAND; DIET; IDENTIFICATION</t>
  </si>
  <si>
    <t>The prey of Antarctic fur seals, Arctocephalus gazella, was investigated through scat analysis at Marion Island from 1996 until 2000. A total of 25 different prey species were identified from scats, of which 21 were fish, 1 crustacean and 3 cephalopods. Fish were by far the main prey item, occurring in 96.1% of samples, followed by crustaceans (2.7%) and cephalopods (1.2%). Fishes from the family Myctophidae (Gymnoscopelus piabilis, Electrona carlsbergi, G. fraseri and E. subaspera) were the most abundant prey (97.2%) every year, while those from the families Notothenididae, Paralepididae, Notosudidae, Microstomatidae and Gempylidae were present in small numbers. G. piabilis, E. carlsbergi, E. subaspera and G. nicholsi contributed the most in terms of biomass to the diet. Significant seasonal differences existed in the diet when comparing summer and winter. G. piabilis, K. anderssoni, P. bolini and P. choriodon dominated in summer as opposed to E. carlsbergi, E. subaspera, G. fraseri and G. nicholsi that dominated in winter. The fish varied in size and mass, from the small K. anderssoni to the large Paranotothenia magellanica. Cephalopods and the crustacean Nauticaris marionis, in very low numbers and in winter, appeared in the scats, but not in all years of study. Unidentified penguin remains rarely turned up in scats.</t>
  </si>
  <si>
    <t>[Makhado, A. B.] Branch Marine &amp; Coastal Management, Dept Environm Affairs &amp; Tourism, ZA-8012 Cape Town, South Africa; [Makhado, A. B.; Bester, M. N.; Pistorius, P. A.; Ferguson, J. W. H.] Univ Pretoria, Dept Zool &amp; Entomol, Mammal Res Inst, ZA-0002 Pretoria, South Africa; [Ferguson, J. W. H.] Univ Pretoria, Dept Zool &amp; Entomol, Ctr Environm Studies, ZA-0002 Pretoria, South Africa; [Klages, N. T. W.] Univ Port Elizabeth, Inst Environm &amp; Coastal Management, ZA-6000 Port Elizabeth, South Africa; [Kirkman, S. P.] Univ Cape Town, Dept Stat Sci, Avian Demog Unit, ZA-7701 Rondebosch, South Africa</t>
  </si>
  <si>
    <t>University of Pretoria; University of Pretoria; Nelson Mandela University; University of Cape Town</t>
  </si>
  <si>
    <t>Makhado, AB (corresponding author), Branch Marine &amp; Coastal Management, Dept Environm Affairs &amp; Tourism, Private Bag X2, ZA-8012 Cape Town, South Africa.</t>
  </si>
  <si>
    <t>Amakhado@deat.gov.za</t>
  </si>
  <si>
    <t>Kirkman, Stephen/AAA-9139-2021; Ferguson, Jan/A-5598-2011; Bester, Marthán N/E-5387-2010</t>
  </si>
  <si>
    <t>Kirkman, Stephen/0000-0001-5428-7375; Pistorius, Pierre/0000-0001-6561-7069</t>
  </si>
  <si>
    <t>10.1007/s00300-007-0391-y</t>
  </si>
  <si>
    <t>WOS:000254486900007</t>
  </si>
  <si>
    <t>Barratt, IM; Johnson, MP; Collins, MA; Allcock, AL</t>
  </si>
  <si>
    <t>Barratt, I. M.; Johnson, M. P.; Collins, M. A.; Allcock, A. L.</t>
  </si>
  <si>
    <t>Female reproductive biology of two sympatric incirrate octopod species, Adelieledone polymorpha (Robson 1930) and Pareledone turqueti (Joubin 1905) (Cephalopoda: Octopodidae), from South Georgia</t>
  </si>
  <si>
    <t>Cephalopoda; octopoda; reproduction; fecundity; reproductive strategy; Antarctica</t>
  </si>
  <si>
    <t>ELEDONE-CIRRHOSA; EMBRYONIC-DEVELOPMENT; SEA; OCEAN; ATLANTIC; GENUS; WATER; REDESCRIPTION; MOLLUSCA; ANTARCTICA</t>
  </si>
  <si>
    <t>The reproductive biology of two species of endemic Southern Ocean octopods was investigated around the sub-Antarctic islands of South Georgia and Shag Rocks. The females of both the species produce few, large eggs. This appears to be governed by phylogenetic constraint. No evidence was found for ontogenetic migration or seasonality associated with gonad maturation. Based on oocyte length frequency distributions and observations of oocyte development within the ovary, it is possible that both species could have either a single or multiple-batch spawning strategy. Pareledone turqueti ovaries contained fewer larger oocytes than those of Adefieledone polymorpha, which may help to reduce competition for resources immediately after hatching.</t>
  </si>
  <si>
    <t>[Barratt, I. M.; Johnson, M. P.; Allcock, A. L.] Queens Univ Belfast, Sch Biol Sci, Med &amp; Biol Ctr, Belfast BT9 7BL, Antrim, North Ireland; [Collins, M. A.] British Antarctic Survey, NERC, Cambridge CB3 0ET, England</t>
  </si>
  <si>
    <t>Queens University Belfast; UK Research &amp; Innovation (UKRI); Natural Environment Research Council (NERC); NERC British Antarctic Survey</t>
  </si>
  <si>
    <t>Barratt, IM (corresponding author), Queens Univ Belfast, Sch Biol Sci, Med &amp; Biol Ctr, 97 Lisburn Rd, Belfast BT9 7BL, Antrim, North Ireland.</t>
  </si>
  <si>
    <t>ibarratt01@qub.ac.uk</t>
  </si>
  <si>
    <t>Johnson, Mark/W-4226-2019; , Martin/ABE-6728-2020; Collins, Martin A/J-8560-2017; Allcock, Louise/A-7359-2012</t>
  </si>
  <si>
    <t>Johnson, Mark/0000-0002-5078-1410; , Martin/0000-0001-7132-8650; Allcock, Louise/0000-0002-4806-0040</t>
  </si>
  <si>
    <t>Natural Environment Research Council [bas010017] Funding Source: researchfish; NERC [bas010017] Funding Source: UKRI</t>
  </si>
  <si>
    <t>10.1007/s00300-007-0392-x</t>
  </si>
  <si>
    <t>WOS:000254486900008</t>
  </si>
  <si>
    <t>De Smet, WH; Gibson, JAE</t>
  </si>
  <si>
    <t>De Smet, Willem H.; Gibson, John A. E.</t>
  </si>
  <si>
    <t>Rhinoglena kutikovae n.sp (Rotifera: Monogononta: Epiphanidae) from the Bunger Hills, East Antarctica:: a probable relict species that survived Quaternary glaciations on the continent</t>
  </si>
  <si>
    <t>Rhinoglena kutikovae n.sp.; taxonomy; Rotifera; Antarctica</t>
  </si>
  <si>
    <t>LAKES</t>
  </si>
  <si>
    <t>A new species of rotifer, Rhinoglena kutikovae n.sp. (Monogononta: Epiphanidae), is described from a freshwater lake in the Bunger Hills, East Antarctica. The new taxon is characterized by the following combination of characters: body conical to vase-shaped; a single toe; distal foot pseudosegment bulged; tail prominent, semi-circular; two small spherical pedal glands with common duct, forming a complex with caudal ganglion; trophi with seven major teeth with offset head and two smaller teeth without offset head. The new species is compared with R. fertoeensis, R. frontalis and R. tokioensis, of which scanning electron microscopic information is presented of the trophi. R. kutikovae n.sp. is probably a relict species that survived Quaternary glaciations in glacial lacustrine refugia on the Antarctic continent.</t>
  </si>
  <si>
    <t>[De Smet, Willem H.] Univ Antwerp, Dept Biol, B-2610 Antwerp, Belgium; [Gibson, John A. E.] Univ Tasmania, Tasmanian Aquaculture &amp; Fisheries Inst, Marine Res Labs, Hobart, Tas 7001, Australia</t>
  </si>
  <si>
    <t>University of Antwerp; University of Tasmania</t>
  </si>
  <si>
    <t>De Smet, WH (corresponding author), Univ Antwerp, Dept Biol, Campus Drie Eiken,Univ Pl 1, B-2610 Antwerp, Belgium.</t>
  </si>
  <si>
    <t>willem.desmet@ua.ac.be; john.gibson@utas.edu.au</t>
  </si>
  <si>
    <t>De Smet, Willem H/C-3458-2008</t>
  </si>
  <si>
    <t>10.1007/s00300-007-0393-9</t>
  </si>
  <si>
    <t>WOS:000254486900009</t>
  </si>
  <si>
    <t>Paudel, B; Bhattarai, HD; Lee, JS; Hong, SG; Shin, HW; Yim, JH</t>
  </si>
  <si>
    <t>Paudel, Babita; Bhattarai, Hari Datta; Lee, Jin Sung; Hong, Soon Gyu; Shin, Hyun Woung; Yim, Joung Han</t>
  </si>
  <si>
    <t>Antioxidant activity of polar lichens from King George Island (Antarctica)</t>
  </si>
  <si>
    <t>METABOLITES</t>
  </si>
  <si>
    <t>Antioxidant agents prevent reactive oxygen species, which can cause degenerative diseases. Natural antioxidants are preferred over many synthetic antioxidants, which can be toxic, for therapeutic applications. Five lichen species were collected from King George Island, Antarctica. Antioxidant activities as assessed by DPPH (1,1-diphenyl-2-picrylhydrazyl) free radical and ABTS(center dot+) [2,2'-azinobis-(3-ethylbenzothiazoline-6-sulfonate)] radical scavenging capacities were determined and compared with those of commercial standards BHA (butylated hydroxyanisole) and trolox [(+/-)-6-hydroxy-2,5,7,8-tetramethylchromane-2-carboxylic acid]. The results indicated that two lichens exhibited comparatively high antioxidant activities with the remaining three exhibiting less activity. The antioxidant activity was concentration-dependent. When compared, the antioxidant activity of crude extracts from polar lichens to previously published data for tropical and temperate lichen species, we concluded that lichens of Antarctic origin may be the potent sources of strong antioxidant agents. Such species should be explored as novel sources of effective antioxidant metabolites.</t>
  </si>
  <si>
    <t>[Paudel, Babita; Bhattarai, Hari Datta; Lee, Jin Sung; Hong, Soon Gyu; Yim, Joung Han] Korea Polar Res Inst, Polar Bioctr, Inchon 406840, South Korea; [Paudel, Babita; Shin, Hyun Woung] Soonchunhyang Univ, Dept Marine Biotechnol, Asan 336745, Chunchannam Do, South Korea</t>
  </si>
  <si>
    <t>Korea Institute of Ocean Science &amp; Technology (KIOST); Korea Polar Research Institute (KOPRI); Soonchunhyang University</t>
  </si>
  <si>
    <t>Yim, JH (corresponding author), Korea Polar Res Inst, Polar Bioctr, Songdo Technopk,Songdo Dong 7-50, Inchon 406840, South Korea.</t>
  </si>
  <si>
    <t>jhyim@kopri.re.kr</t>
  </si>
  <si>
    <t>Lee, JIn/HTL-6278-2023</t>
  </si>
  <si>
    <t>10.1007/s00300-007-0394-8</t>
  </si>
  <si>
    <t>WOS:000254486900010</t>
  </si>
  <si>
    <t>Mazzei, F; Ghigliotti, L; Coutanceau, JP; Detrich, HW; Prirodina, V; Ozouf-Costaz, C; Pisano, E</t>
  </si>
  <si>
    <t>Mazzei, F.; Ghigliotti, L.; Coutanceau, Jean-Pierre; Detrich, H. W., III; Prirodina, V.; Ozouf-Costaz, C.; Pisano, E.</t>
  </si>
  <si>
    <t>Chromosomal characteristics of the temperate notothenioid fish Eleginops maclovinus (Cuvier)</t>
  </si>
  <si>
    <t>eleginopidae; Sub-Antarctic; chromosomes; notothenioidei; fishes</t>
  </si>
  <si>
    <t>PERCIFORMES</t>
  </si>
  <si>
    <t>The Falkland's mullet, Eleginops maclovinus, is the only modern representative of the Sub-Antarctic family Eleginopidae, suborder Notothenioidei. Based on specimens from the Falkland Islands/Islas Malvinas, the Magellan Straits, and the Southern coast of Chile, we have established the specific karyotype by conventional cytogenetic methods and have mapped the chromosomal loci of the ribosomal genes by fluorescence in situ hybridization (FISH). With respect to the basal notothenioid family Bovichtidae and to the hypothetical basal condition of the suborder (diploid number = 48, fundamental number = 48), E. maclovinus displays a slightly derived karyotype (diploid number = 48, fundamental number = 54). In contrast to the bovichtids, the 45S and 5S ribosomal DNAs are co-localized to a single chromosome pair. Condensation of the ribosomal genes to a single locus is likely to represent an intermediate stage in the evolution of notothenioid karyology. Features unique to E. maclovinus (e.g., morphology of its large, rDNA-bearing chromosome pair) probably result from divergence during the long evolutionary isolation of the family.</t>
  </si>
  <si>
    <t>[Mazzei, F.; Ghigliotti, L.; Pisano, E.] Univ Genoa, Dept Biol, I-16132 Genoa, Italy; [Coutanceau, Jean-Pierre; Ozouf-Costaz, C.] Museum Natl Hist Nat, Dept Systemat &amp; Evolut, CNRS, UMR 7138, F-75005 Paris, France; [Detrich, H. W., III] Northeastern Univ, Dept Biol, Boston, MA 02115 USA; [Prirodina, V.] Russian Acad Sci, Inst Zool, St Petersburg 199034, Russia</t>
  </si>
  <si>
    <t>University of Genoa; Sorbonne Universite; Museum National d'Histoire Naturelle (MNHN); Centre National de la Recherche Scientifique (CNRS); CNRS - National Institute for Biology (INSB); Northeastern University; Russian Academy of Sciences; Zoological Institute of the Russian Academy of Sciences</t>
  </si>
  <si>
    <t>Pisano, E (corresponding author), Univ Genoa, Dept Biol, Viale Benedetto 15 5, I-16132 Genoa, Italy.</t>
  </si>
  <si>
    <t>pisano@unige.it</t>
  </si>
  <si>
    <t>Ghigliotti, Laura/AAN-6843-2021; Ghigliotti, Laura/J-3076-2012</t>
  </si>
  <si>
    <t>Ghigliotti, Laura/0000-0003-2139-1381;</t>
  </si>
  <si>
    <t>10.1007/s00300-007-0399-3</t>
  </si>
  <si>
    <t>WOS:000254486900013</t>
  </si>
  <si>
    <t>Volpedo, AV; Tombari, AD; Echeverría, DD</t>
  </si>
  <si>
    <t>Volpedo, Alejandra V.; Tombari, A. D.; Echeverria, Dinorah D.</t>
  </si>
  <si>
    <t>Eco-morphological patterns of the sagitta of Antarctic fish</t>
  </si>
  <si>
    <t>otolith; ecomorphology; morphometry; Antarctic fish</t>
  </si>
  <si>
    <t>CONTINENTAL-SHELF; OTOLITH; VARIABILITY; DEPTH; SHAPE; WEB</t>
  </si>
  <si>
    <t>Morphology and morphometry of the sagittae otolith were studied in pelagic and mesopelagic fish. The shape, margins and rostrum of four groups of otoliths from several species were analyzed: group I (pelagic fish associated with the under ice cover N = 42), group 2 (pelagic fish associated with water offshore N = 9), group 3 (rnesopelagic fish associated with extensive vertical migration N = 57) and group 4 (rnesopelagic fish associated with short vertical migration N = 54). E (maximum width of the sagitta /maximum length of the sagitta %), R (rostrum length (RL)/maximum length of the sagitta %) and S (sulcus area (SS)/otolith area (OS) %) indexes were calculated for each species. Sagittae of pelagic groups (I and 2) showed the smallest sagitta dimensions in relation to the total length of the fish, in this group the sagitta shape is variable. Sagittae of mesopelagic fish (groups 3 and 4) showed variable shape and edges. The shape in group 4 was polygonal and these species have more width than length. Statistical analysis showed significant differences in the E, R and S indexes. These results were compared with other 19 species, belonging to six families, taken from a publisher-edited literature. E, R and S-values could be used to characterize the sagittae of the Antarctic fish and Could be considered as a useful tool for fish ecology studies.</t>
  </si>
  <si>
    <t>[Volpedo, Alejandra V.; Tombari, A. D.; Echeverria, Dinorah D.] Univ Buenos Aires, Fac Ciencias Exactas &amp; Nat, Biodivers &amp; Expt Biol Dept, Buenos Aires, DF, Argentina</t>
  </si>
  <si>
    <t>University of Buenos Aires</t>
  </si>
  <si>
    <t>Volpedo, AV (corresponding author), Univ Buenos Aires, Fac Ciencias Exactas &amp; Nat, Biodivers &amp; Expt Biol Dept, Buenos Aires, DF, Argentina.</t>
  </si>
  <si>
    <t>volpedo@bg.fcen.uba.ar</t>
  </si>
  <si>
    <t>Volpedo, Alejandra/ADT-1366-2022; Volpedo, Alejandra Vanina/AAP-9903-2020</t>
  </si>
  <si>
    <t>Volpedo, Alejandra/0000-0003-3321-311X;</t>
  </si>
  <si>
    <t>10.1007/s00300-007-0400-1</t>
  </si>
  <si>
    <t>WOS:000254486900014</t>
  </si>
  <si>
    <t>Cresswell, KA; Wiedenmann, J; Mangel, M</t>
  </si>
  <si>
    <t>Cresswell, K. A.; Wiedenmann, J.; Mangel, M.</t>
  </si>
  <si>
    <t>Can macaroni penguins keep up with climate- and fishing-induced changes in krill?</t>
  </si>
  <si>
    <t>eudyptes chosolophus; Euphausia superba; behavior; foraging; climate change; fishing; predator; prey; SDP; provisioning; fitness</t>
  </si>
  <si>
    <t>ANTARCTIC KRILL; EUPHAUSIA-SUPERBA; SEA-ICE; EUDYPTES-CHRYSOLOPHUS; ROCKHOPPER PENGUINS; FORAGING RANGE; VARIABILITY; ABUNDANCE; PREDATORS; ECOSYSTEM</t>
  </si>
  <si>
    <t>Macaroni penguins have evolved to cope with the highly variable conditions of the Southern Ocean. However, changes in prey supply and patchiness potentially associated with changes in climate and krill fishing activity may be occurring too rapidly for the penguins to adapt. We use a stochastic dynamic programming model to examine how changes in both the mean and patchiness of krill supply may affect the foraging decisions, and therefore breeding success, of female macaroni penguins at South Georgia. We predict that rapid changes in the mean supply of prey will have more of an effect on the condition of the female and chick than changes in prey patchiness, and that changes in foraging behavior compensate for changes in prey up to a threshold point, beyond which breeding success is likely impacted. In particular., we predict that the location of the threshold is affected by whether or not the penguins are adapted to the prey environment in which they are foraging, with the female and chick receiving on average 20% less of their daily energetic requirement if the female is not foraging optimally.</t>
  </si>
  <si>
    <t>[Cresswell, K. A.; Mangel, M.] Univ Calif Santa Cruz, Jack Baskin Sch Engn, Ctr Stock Assessment Res, Santa Cruz, CA 95064 USA; [Wiedenmann, J.] Univ Calif Santa Cruz, Dept Ocean Sci, Santa Cruz, CA 95064 USA</t>
  </si>
  <si>
    <t>University of California System; University of California Santa Cruz; University of California System; University of California Santa Cruz</t>
  </si>
  <si>
    <t>Cresswell, KA (corresponding author), Univ Calif Santa Cruz, Jack Baskin Sch Engn, Ctr Stock Assessment Res, Mail Stop E2, Santa Cruz, CA 95064 USA.</t>
  </si>
  <si>
    <t>kcre@soe.ucsc.edu</t>
  </si>
  <si>
    <t>Cresswell, Katherine/0000-0003-1692-4964; Wiedenmann, John/0000-0001-7622-9053</t>
  </si>
  <si>
    <t>10.1007/s00300-007-0401-0</t>
  </si>
  <si>
    <t>WOS:000254486900015</t>
  </si>
  <si>
    <t>Chown, SL; Sinclair, BJ; van Vuuren, BJ</t>
  </si>
  <si>
    <t>Chown, Steven L.; Sinclair, Brent J.; van Vuuren, Bettine Jansen</t>
  </si>
  <si>
    <t>DNA barcoding and the documentation of alien species establishment on sub-Antarctic Marion Island</t>
  </si>
  <si>
    <t>biological invasion; establishment; Lepidoptera; mitochondrial; DNA</t>
  </si>
  <si>
    <t>LEPIDOPTERA; ACCLIMATION; RESPONSES; RECORDS</t>
  </si>
  <si>
    <t>Invasive alien species constitute a substantial conservation challenge in the terrestrial sub-Antarctic. Management plans, for many of the islands in the region, call for the prevention, early detection, and management of such alien species. However, such management may be confounded by difficulties of identification of immatures, especially of holometabolous insects. Here we show how a DNA barcoding approach has helped to overcome such a problem associated with the likely establishment of an alien moth species on Marion Island. The discovery of unidentifiable immatures of a noctuid moth species, 5 km from the research station, suggested that a new moth species had colonized the island. Efforts to identify the larvae by conventional means or by rearing to the adult stage failed. However, sequencing of 617 bp of the mitochondrial cytochrome oxidase subunit I gene, and comparison of the sequence data with sequences on GENBANK and the barcoding of life database enabled us to identify the species as Agrotis ipsilon (Hufnagel), a species of which adults had previously been found regularly at the research station. Discovery of immatures of this species, some distance from the research station, suggests that a population may have established. It is recommended that steps to be taken to eradicate the species from Marion Island.</t>
  </si>
  <si>
    <t>[Chown, Steven L.; van Vuuren, Bettine Jansen] Univ Stellenbosch, Dept Bot &amp; Zool, Ctr Invas Biol, ZA-7600 Stellenbosch, South Africa; [Sinclair, Brent J.] Univ Western Ontario, Dept Bot, London, ON N6A 5B7, Canada</t>
  </si>
  <si>
    <t>Stellenbosch University; Western University (University of Western Ontario)</t>
  </si>
  <si>
    <t>Chown, SL (corresponding author), Univ Stellenbosch, Dept Bot &amp; Zool, Ctr Invas Biol, Private Bag 11, ZA-7600 Stellenbosch, South Africa.</t>
  </si>
  <si>
    <t>slchown@sun.ac.za</t>
  </si>
  <si>
    <t>Chown, Steven/ABD-7646-2021; Sinclair, Brent J/C-6133-2012; Jansen van Vuuren, Bettine/E-6227-2013; 赵, 鹏/B-8401-2009; Chown, Steven/H-3347-2011</t>
  </si>
  <si>
    <t>Jansen van Vuuren, Bettine/0000-0002-5334-5358; Sinclair, Brent/0000-0002-8191-9910; Chown, Steven/0000-0001-6069-5105</t>
  </si>
  <si>
    <t>10.1007/s00300-007-0402-z</t>
  </si>
  <si>
    <t>WOS:000254486900016</t>
  </si>
  <si>
    <t>Jensen, O</t>
  </si>
  <si>
    <t>Jensen, Oystein</t>
  </si>
  <si>
    <t>Arctic shipping guidelines: towards a legal regime for navigation safety and environmental protection?</t>
  </si>
  <si>
    <t>With the International Polar Year (IPY) having commenced in March 2007, key issues relating to the polar regions are again in focus. This article reviews one central legal issue re-emerging in the Arctic: global regulation of safety standards for international shipping. The 'Guidelines for ships operating in Arctic ice-covered waters' are examined, with a view to the probable expansion of shipping in the Arctic in near future. Following an introduction to navigational issues within the Arctic context, the article describes how the guidelines came into being, and then analyses key elements and structure of the regulations and shortfalls of today's arrangements. The possible relevance of the guidelines to the Antarctic is also discussed briefly. Finally, the article inquires into the key repercussions of introducing binding regulations.</t>
  </si>
  <si>
    <t>[Jensen, Oystein] Fridtjof Nansen Inst Polhogda, N-1326 Lysaker, Norway</t>
  </si>
  <si>
    <t>Jensen, O (corresponding author), Fridtjof Nansen Inst Polhogda, PO Box 326,Fridtjof Nansen vei 17, N-1326 Lysaker, Norway.</t>
  </si>
  <si>
    <t>10.1017/S0032247407007127</t>
  </si>
  <si>
    <t>262ZU</t>
  </si>
  <si>
    <t>WOS:000253188200002</t>
  </si>
  <si>
    <t>Moore, JK</t>
  </si>
  <si>
    <t>Moore, Jason Kendall</t>
  </si>
  <si>
    <t>Particular generalisation: the Antarctic Treaty of 1959 in relation to the anti-nuclear movement</t>
  </si>
  <si>
    <t>COLD-WAR; SCIENCE; DIPLOMACY; HISTORY</t>
  </si>
  <si>
    <t>This article presents the US role in the formation of the Antarctic Treaty of 1959 in relation to the era's anti-nuclear movement. The purpose is two-fold: to highlight the strategic orientation of US Antarctic policy, suggesting that it was less enlightened than it is frequently portrayed; and to highlight the influence of the anti-nuclear movement upon the treaty's inclusion of a test ban which the United States initially opposed, hoping to reserve the right to conduct nuclear tests. The treaty is depicted as a particular generalisation: one aspect of the cold war that gains significance when scrutinised in relation to another that is much better-known.</t>
  </si>
  <si>
    <t>[Moore, Jason Kendall] Ctr Estudios Hemisfericos &amp; Polares, Recreo Vina Del Mar, Chile</t>
  </si>
  <si>
    <t>Moore, JK (corresponding author), Ctr Estudios Hemisfericos &amp; Polares, Balmaceda 37-121, Recreo Vina Del Mar, Chile.</t>
  </si>
  <si>
    <t>10.1017/S0032247407007115</t>
  </si>
  <si>
    <t>Science Citation Index Expanded (SCI-EXPANDED); Social Science Citation Index (SSCI); Arts &amp; Humanities Citation Index (A&amp;HCI)</t>
  </si>
  <si>
    <t>WOS:000253188200003</t>
  </si>
  <si>
    <t>Selkirk, PM; Whinam, JP; Downing, AJ; Skotnicki, ML</t>
  </si>
  <si>
    <t>Selkirk, P. M.; Whinam, J. P.; Downing, A. J.; Skotnicki, M. L.</t>
  </si>
  <si>
    <t>Mosses of sub-Antarctic Heard Island: an updated list and discussion of their distribution</t>
  </si>
  <si>
    <t>COMMUNITIES</t>
  </si>
  <si>
    <t>During an early summer visit in 2000, mosses were collected from sites around Heard Island. Three species, Bryoerythrophyllum recurvirostrum (Hedw.) P.C.Chen, Philonotis cf. tenuis (Taylor) Reichardt and Syntrichia filaris (Mull.Hall) R.H. Zander have been added to the list of moss species known from the island, bringing the total to 40 moss taxa. Syntrichia anderssonii (Angstrom) R.H. Zander was found with sporophytes, whereas previously its sporophytes were known in the sub-Antarctic only from Macquarie Island. Extensions of range on Heard Island have been recorded for several species. There are few geographical differences in species composition between locations around the island, provided appropriate habitats exist.</t>
  </si>
  <si>
    <t>[Selkirk, P. M.; Downing, A. J.] Macquarie Univ, Dept Biol Sci, Sydney, NSW 2109, Australia; [Whinam, J. P.] Tasmanian Dept Primary Ind &amp; Water, Biodiversity Conservat Branch, Hobart, Tas 7000, Australia; [Skotnicki, M. L.] Australian Natl Univ, Inst Adv Studies, Res Sch Biol Sci, Ecosyst Dynam Grp, Canberra, ACT 2601, Australia</t>
  </si>
  <si>
    <t>Macquarie University; Australian National University</t>
  </si>
  <si>
    <t>Selkirk, PM (corresponding author), Macquarie Univ, Dept Biol Sci, Sydney, NSW 2109, Australia.</t>
  </si>
  <si>
    <t>10.1017/S003224740700722X</t>
  </si>
  <si>
    <t>WOS:000253188200005</t>
  </si>
  <si>
    <t>Connor, MA</t>
  </si>
  <si>
    <t>Connor, M. A.</t>
  </si>
  <si>
    <t>Wastewater treatment in antarctica</t>
  </si>
  <si>
    <t>ENTERIC BACTERIA; SEAWATER; STATION</t>
  </si>
  <si>
    <t>Since the exploration of Antarctica began, procedures for dealing with human wastes have changed considerably. The establishment of research stations made it necessary to provide for sewage disposal. However, the introduction of advanced wastewater treatment processes has been driven largely by an intensifying concern to protect the Antarctic environment. A key step was the adoption by Antarctic Treaty nations of the so-called Madrid Protocol, in which minimum standards for sewage treatment and disposal are prescribed. The provisions of this protocol are not particularly onerous and some countries have elected to go beyond them, and to treat Antarctic research station wastewater as they would at home. Transferring treatment technologies to Antarctica is not simple because the remoteness, isolation, weather and other local conditions impose a variety of unusual constraints on plant design. The evolution of advanced treatment plant designs is examined. Most countries have opted for biofilm-based processes, with Rotating Biological Contactors (RBC) favoured initially while more recently contact aeration systems have been preferred. Sludges are now generally repatriated, with a diversity of sludge dewatering techniques being used. The evolution of treatment process designs is expected to continue, with growing use, especially at inland stations, of sophisticated processes such as membrane technologies and thermally efficient evaporative techniques.</t>
  </si>
  <si>
    <t>[Connor, M. A.] Univ Melbourne, Dept Chem &amp; Biomol Engn, Parkville, Vic 3052, Australia</t>
  </si>
  <si>
    <t>University of Melbourne</t>
  </si>
  <si>
    <t>Connor, MA (corresponding author), Univ Melbourne, Dept Chem &amp; Biomol Engn, Parkville, Vic 3052, Australia.</t>
  </si>
  <si>
    <t>10.1017/S003224740700719X</t>
  </si>
  <si>
    <t>WOS:000253188200006</t>
  </si>
  <si>
    <t>Dodds, K; Hemmings, AD</t>
  </si>
  <si>
    <t>Dodds, Klaus; Hemmings, Alan D.</t>
  </si>
  <si>
    <t>The United States 2002 Unified Command Plan: Antarctica and the areas of responsibility of military commanders</t>
  </si>
  <si>
    <t>In October 2002, following the I I September 2001 attacks on the United States, the Unified Command Plan (UCP), that sets out the geographical responsibilities of combatant commanders, was revised with regard to their areas of responsibility. Accompanying these changes was a map, which detailed the geographical boundaries of the US Northern, Pacific, Southern, European and Central Commands. The map indicated that two of these Commands, Southern and European Command stretched as far south as the Antarctic coastline while a third (Pacific) not only did that but also included the entire Antarctic continent. In 2007, a new Africa Command comprising the southern part of European Command, was instituted and this, too, stretched to the Antarctic coastline. This note briefly considers some of the implications that might follow from these changes to the UCP and highlights logistical patterns, search and rescue matters and the question of the demilitarisation of Antarctica.</t>
  </si>
  <si>
    <t>[Dodds, Klaus] Univ London Royal Holloway, Dept Geog, Egham TW20 0EX, Surrey, England; [Hemmings, Alan D.] Univ Canterbury, Gateway Antarctica Ctr Antarctic Studies &amp; Res, Christchurch 1, New Zealand</t>
  </si>
  <si>
    <t>University of London; Royal Holloway University London; University of Canterbury</t>
  </si>
  <si>
    <t>Dodds, K (corresponding author), Univ London Royal Holloway, Dept Geog, Egham TW20 0EX, Surrey, England.</t>
  </si>
  <si>
    <t>10.1017/S0032247407007164</t>
  </si>
  <si>
    <t>WOS:000253188200007</t>
  </si>
  <si>
    <t>Bertram, E; Gunn, C; Stonehouse, B</t>
  </si>
  <si>
    <t>Bertram, Esther; Gunn, Caroline; Stonehouse, Bernard</t>
  </si>
  <si>
    <t>The cruise of MS Golden Princess in Antarctic waters, January 2007</t>
  </si>
  <si>
    <t>In January 2007, MS Golden Princess, carrying 2425 passengers and a crew of approximately 1100, became the largest ship to sail Antarctic waters within the northern limit of pack ice. This note describes the ship and its itinerary, discusses aspects of the cruise, and comments on the use of large cruise liners in Antarctic waters.</t>
  </si>
  <si>
    <t>[Bertram, Esther] Linton House, Linton CB1 6HS, England; [Gunn, Caroline] Univ Hull, Maritime Hist Studies Ctr, Kingston Upon Hull HU1 1HA, N Humberside, England; [Stonehouse, Bernard] Univ Cambridge, Scott Polar Res Inst, Cambridge CB2 1ER, England</t>
  </si>
  <si>
    <t>University of Hull; University of Cambridge</t>
  </si>
  <si>
    <t>Bertram, E (corresponding author), Linton House, Linton CB1 6HS, England.</t>
  </si>
  <si>
    <t>10.1017/S0032247407007176</t>
  </si>
  <si>
    <t>WOS:000253188200008</t>
  </si>
  <si>
    <t>Márquez, ME; Carlini, AR; Baroni, AV; de Ferrer, PAR</t>
  </si>
  <si>
    <t>Marquez, Maria E.; Carlini, Alejandro R.; Baroni, Andrea V.; de Ferrer, Patricia A. Ronayne</t>
  </si>
  <si>
    <t>Variations of fat and protein levels in the Weddell seal (Leptonychotes weddellii Lesson 1826) milk at Laurie Island, Antarctica:: preliminary study</t>
  </si>
  <si>
    <t>REVISTA DE BIOLOGIA MARINA Y OCEANOGRAFIA</t>
  </si>
  <si>
    <t>antarctic pinnipeds; milk protein; energy content; lactation</t>
  </si>
  <si>
    <t>ELEPHANT SEAL; LACTATION; BIOLOGY; PUPS</t>
  </si>
  <si>
    <t>The Weddell seal (Leptonychotes weddellii Lesson, 1826) has in common with other antarctic phocids, a lactation characterized by high rates of nutrients and energy transfer. The Study of the variations in the milk composition contributes to the knowledge about this particular model of lactation and allows the acquisition of basic information for veterinary medical studies. The present Study shows the preliminary results of the analyses of the variations in milk Cat and protein levels from four females sampled sequentially along lactation at Laurie island, South Orkney Islands during the 2002 breeding season. Important inter individual variations were observed among the sampled females, but a similar pattern along time which showed: a) an increasing trend for tat levels during the first half of the lactation period (13.04 to 61.25 g 100 g(-1)), and then maintaining high values (41.21 to 48.88 g 100 g(-1)) from this point until the end of suckling, and b) total protein levels fluctuated within a narrow, range (8.10 to 11.74 g 100 g(-1)) along the period. Fat and protein Values are similar to those reported for other phocids, allowing for the rapid growth and the formation of the blubber to protect the pup and assure its survival.</t>
  </si>
  <si>
    <t>[Marquez, Maria E.; Carlini, Alejandro R.] Inst Antartico Argentino DNA, Dept Ciencias Biol, Buenos Aires, DF, Argentina; [Baroni, Andrea V.; de Ferrer, Patricia A. Ronayne] UBA, Fac Farm &amp; Bioquim, Catedras Bromatol &amp; Nutr, Buenos Aires, DF, Argentina</t>
  </si>
  <si>
    <t>Instituto Antartico Argentino; University of Buenos Aires</t>
  </si>
  <si>
    <t>Márquez, ME (corresponding author), Inst Antartico Argentino DNA, Dept Ciencias Biol, Cerrito 1248-1010, Buenos Aires, DF, Argentina.</t>
  </si>
  <si>
    <t>mitsuki@dna.gov.ar</t>
  </si>
  <si>
    <t>UNIV VALPARAISO</t>
  </si>
  <si>
    <t>VINA DEL MAR</t>
  </si>
  <si>
    <t>FACULTAD CIENCIAS MAR RECURSOS NATURALES, CASILLA 5080 - RENACA, VINA DEL MAR, 00000, CHILE</t>
  </si>
  <si>
    <t>0717-3326</t>
  </si>
  <si>
    <t>0718-1957</t>
  </si>
  <si>
    <t>REV BIOL MAR OCEANOG</t>
  </si>
  <si>
    <t>Rev. Biol. Mar. Oceanogr.</t>
  </si>
  <si>
    <t>342LM</t>
  </si>
  <si>
    <t>WOS:000258785600016</t>
  </si>
  <si>
    <t>Mulcahy, M</t>
  </si>
  <si>
    <t>Mulcahy, Michael</t>
  </si>
  <si>
    <t>SEA CON technology crucial to Antarctic research project</t>
  </si>
  <si>
    <t>SEA TECHNOLOGY</t>
  </si>
  <si>
    <t>Michael Mulcahy &amp; Associates Inc, Alexandria, VA USA</t>
  </si>
  <si>
    <t>Mulcahy, M (corresponding author), Michael Mulcahy &amp; Associates Inc, Alexandria, VA USA.</t>
  </si>
  <si>
    <t>COMPASS PUBLICATIONS, INC</t>
  </si>
  <si>
    <t>ARLINGTON</t>
  </si>
  <si>
    <t>1501 WILSON BLVD., STE 1001, ARLINGTON, VA 22209-2403 USA</t>
  </si>
  <si>
    <t>0093-3651</t>
  </si>
  <si>
    <t>SEA TECHNOL</t>
  </si>
  <si>
    <t>Sea Technol.</t>
  </si>
  <si>
    <t>Engineering, Ocean</t>
  </si>
  <si>
    <t>Engineering</t>
  </si>
  <si>
    <t>293QW</t>
  </si>
  <si>
    <t>WOS:000255350800007</t>
  </si>
  <si>
    <t>Church, JA; White, NJ; Aarup, T; Wilson, WS; Woodworth, PL; Domingues, CM; Hunter, JR; Lambeck, K</t>
  </si>
  <si>
    <t>Church, John A.; White, Neil J.; Aarup, Thorkild; Wilson, W. Stanley; Woodworth, Philip L.; Domingues, Catia M.; Hunter, John R.; Lambeck, Kurt</t>
  </si>
  <si>
    <t>Understanding global sea levels: past, present and future</t>
  </si>
  <si>
    <t>SUSTAINABILITY SCIENCE</t>
  </si>
  <si>
    <t>Sea-level rise; Climate change; Coasts; Extreme events; IPCC; Greenhouse</t>
  </si>
  <si>
    <t>ICE SHEETS; SUBSURFACE TEMPERATURE; ALTIMETRIC HEIGHT; STERIC HEIGHT; WATER STORAGE; MASS-BALANCE; HEAT-STORAGE; RISE; GREENLAND; OCEAN</t>
  </si>
  <si>
    <t>The coastal zone has changed profoundly during the 20th century and, as a result, society is becoming increasingly vulnerable to the impact of sea-level rise and variability. This demands improved understanding to facilitate appropriate planning to minimise potential losses. With this in mind, the World Climate Research Programme organised a workshop (held in June 2006) to document current understanding and to identify research and observations required to reduce current uncertainties associated with sea-level rise and variability. While sea levels have varied by over 120 m during glacial/interglacial cycles, there has been little net rise over the past several millennia until the 19th century and early 20th century, when geological and tide-gauge data indicate an increase in the rate of sea-level rise. Recent satellite-altimeter data and tide-gauge data have indicated that sea levels are now rising at over 3 mm year(-1). The major contributions to 20th and 21st century sea-level rise are thought to be a result of ocean thermal expansion and the melting of glaciers and ice caps. Ice sheets are thought to have been a minor contributor to 20th century sea-level rise, but are potentially the largest contributor in the longer term. Sea levels are currently rising at the upper limit of the projections of the Third Assessment Report of the Intergovernmental Panel on Climate Change (TAR IPCC), and there is increasing concern of potentially large ice-sheet contributions during the 21st century and beyond, particularly if greenhouse gas emissions continue unabated. A suite of ongoing satellite and in situ observational activities need to be sustained and new activities supported. To the extent that we are able to sustain these observations, research programmes utilising the resulting data should be able to significantly improve our understanding and narrow projections of future sea-level rise and variability.</t>
  </si>
  <si>
    <t>[Church, John A.; White, Neil J.; Domingues, Catia M.] CSIRO Marine &amp; Atmospher Res, Ctr Australian Weather &amp; Climate Res Partnership, Hobart, Tas 7001, Australia; [Church, John A.; White, Neil J.; Domingues, Catia M.] CSIRO Marine &amp; Atmospher Res, Australian Bur Meteorol &amp; CSIRO, Hobart, Tas 7001, Australia; [Church, John A.; White, Neil J.; Hunter, John R.; Lambeck, Kurt] Antarctic Climate &amp; Ecosyst Cooperat Res Ctr, Hobart, Tas, Australia; [Aarup, Thorkild] UNESCO, Intergovt Oceanog Commiss, Paris, France; [Wilson, W. Stanley] US Natl Ocean &amp; Atmospher Adm, Washington, DC USA; [Woodworth, Philip L.] Proudman Oceanog Lab, Permanent Serv Mean Sea Level, Liverpool, Merseyside, England; [Lambeck, Kurt] Australian Natl Univ, Res Sch Earth Sci, Canberra, ACT, Australia</t>
  </si>
  <si>
    <t>Commonwealth Scientific &amp; Industrial Research Organisation (CSIRO); Commonwealth Scientific &amp; Industrial Research Organisation (CSIRO); Antarctic Climate &amp; Ecosystems Cooperative Research Centre (ACE CRC); National Oceanic Atmospheric Admin (NOAA) - USA; NERC National Oceanography Centre; Australian National University</t>
  </si>
  <si>
    <t>Church, JA (corresponding author), CSIRO Marine &amp; Atmospher Res, Ctr Australian Weather &amp; Climate Res Partnership, GPO Box 1538, Hobart, Tas 7001, Australia.</t>
  </si>
  <si>
    <t>John.Church@csiro.au</t>
  </si>
  <si>
    <t>Jiao, Liqing/A-8821-2011; Domingues, Catia M./A-2901-2015; Church, John A/A-1541-2012; White, Neil/B-2077-2013</t>
  </si>
  <si>
    <t>Domingues, Catia M./0000-0001-5100-4595; Church, John A/0000-0002-7037-8194; Woodworth, Philip/0000-0002-6681-239X</t>
  </si>
  <si>
    <t>CSIRO; Australian Government's Cooperative Research Centres Programme; Australian Climate Change Science Program; NERC [pol010005, soc010007] Funding Source: UKRI; Natural Environment Research Council [pol010005, soc010007] Funding Source: researchfish</t>
  </si>
  <si>
    <t>CSIRO(Commonwealth Scientific &amp; Industrial Research Organisation (CSIRO)); Australian Government's Cooperative Research Centres Programme(Australian GovernmentDepartment of Industry, Innovation and ScienceCooperative Research Centres (CRC) Programme); Australian Climate Change Science Program; NERC(UK Research &amp; Innovation (UKRI)Natural Environment Research Council (NERC)); Natural Environment Research Council(UK Research &amp; Innovation (UKRI)Natural Environment Research Council (NERC))</t>
  </si>
  <si>
    <t>This paper is a contribution to the CSIRO Climate Change Research Program and the CSIRO Wealth from Oceans Flagship and was supported by the Australian Government's Cooperative Research Centres Programme through the Antarctic Climate and Ecosystems Cooperative Research Centre. JAC, NJW and JRH were partly funded by the Australian Climate Change Science Program.</t>
  </si>
  <si>
    <t>SHIROYAMA TRUST TOWER 5F, 4-3-1 TORANOMON, MINATO-KU, TOKYO, 105-6005, JAPAN</t>
  </si>
  <si>
    <t>1862-4065</t>
  </si>
  <si>
    <t>1862-4057</t>
  </si>
  <si>
    <t>SUSTAIN SCI</t>
  </si>
  <si>
    <t>Sustain. Sci.</t>
  </si>
  <si>
    <t>10.1007/s11625-008-0042-4</t>
  </si>
  <si>
    <t>Green &amp; Sustainable Science &amp; Technology; Environmental Sciences</t>
  </si>
  <si>
    <t>Science &amp; Technology - Other Topics; Environmental Sciences &amp; Ecology</t>
  </si>
  <si>
    <t>417UM</t>
  </si>
  <si>
    <t>WOS:000264104000003</t>
  </si>
  <si>
    <t>Deng, XL; Hwang, C; Coleman, R; Featherstone, WE</t>
  </si>
  <si>
    <t>Deng, Xiaoli; Hwang, Cheinway; Coleman, Richard; Featherstone, Will E.</t>
  </si>
  <si>
    <t>Seasonal and interannual variations of the Leeuwin Current off Western Australia from TOPEX/Poseidon satellite altimetry</t>
  </si>
  <si>
    <t>TERRESTRIAL ATMOSPHERIC AND OCEANIC SCIENCES</t>
  </si>
  <si>
    <t>International Workshop on Coast and Land Applications of Satellite Altimetry</t>
  </si>
  <si>
    <t>JUL 21-22, 2006</t>
  </si>
  <si>
    <t>TOPEX/Poseidon; satellite altimetry; Leeuwin Current; geostrophic parameters; ENSO; ocean-surface currents; Western Australia</t>
  </si>
  <si>
    <t>SOUTHERN SHELVES; GULF-STREAM; SEA-LEVEL; VARIABILITY; OCEAN; CIRCULATION; AUSGEOID98; EDDIES</t>
  </si>
  <si>
    <t>The Leeuwin Current (LC) is an eastern boundary current flowing strongly southwards along the Western Australian coastline. The current varies seasonally, with weaker southwards flow occurring during the austral summer (November to March), when southerly winds are strongest. Nearly 9.5 years of TOPEX/Poseidon-derived sea-surface heights, in conjunction with the AUSGeoid98 gravimetric geoid model, have been used to investigate the temporal characteristics of the LC over the area bounded by 20 to 45 degrees S and 108 to 130 degrees E. The ocean dynamic height associated with the LC is used to compute the geostrophic parameters of volume transport, axis velocity, height jump, width, and axis locations of the current: These parameter estimates are then used to analyse the seasonal and interannual variability of the LC, as well as effects related to the El Nino Southern Oscillation (ENSO). Our results show that the LC is highly variable in terms of seasonal volume transport and is closely linked to ENSO events at interannual time-scales. Seasonally, when assuming an averaged isobath of 80 m, the LC has maximum volume transport of up to -7.2 Sv (10(6) m(3) s(-1), a negative sign means southwards transport) in April - June and -8.4 Sv in May - August in regions west and south of Western Australia, respectively. Inter-annually, the LC has higher volume transports than the average transport during 1993 - 2003 in most La Nina years, and the opposite in most El Nino years, which is linked to inter-basin exchange between the Pacific and Indian Oceans.</t>
  </si>
  <si>
    <t>[Deng, Xiaoli] Univ Newcastle, Sch Engn, Callaghan, NSW 2308, Australia; [Deng, Xiaoli] Univ Newcastle, Ctr Climate Change Impact Management, Callaghan, NSW 2308, Australia; [Hwang, Cheinway] Natl Chiao Tung Univ, Dept Civil Engn, Hsinchu, Taiwan; [Coleman, Richard] Univ Tasmania, Ctr Marine Sci, Hobart, Tas 7001, Australia; [Coleman, Richard] Antarctic Climate &amp; Ecosyst CRC, Hobart, Tas, Australia; [Featherstone, Will E.] Curtin Univ Technol, Western Australian Ctr Geodesy, Perth, WA 6845, Australia; [Featherstone, Will E.] Curtin Univ Technol, Inst Geosci Res, Perth, WA 6845, Australia</t>
  </si>
  <si>
    <t>University of Newcastle; University of Newcastle; National Yang Ming Chiao Tung University; University of Tasmania; University of Tasmania; Curtin University; Curtin University</t>
  </si>
  <si>
    <t>Deng, XL (corresponding author), Univ Newcastle, Sch Engn, Univ Dr, Callaghan, NSW 2308, Australia.</t>
  </si>
  <si>
    <t>xiaoli.deng@newcastle.edu.au</t>
  </si>
  <si>
    <t>; Featherstone, Will/B-7955-2010; Coleman, Richard/H-4425-2012</t>
  </si>
  <si>
    <t>Deng, Xiaoli/0000-0001-9595-8032; Featherstone, Will/0000-0001-9644-4535; Coleman, Richard/0000-0002-9731-7498</t>
  </si>
  <si>
    <t>CHINESE GEOSCIENCE UNION</t>
  </si>
  <si>
    <t>PO BOX 23-59, TAIPEI 10764, TAIWAN</t>
  </si>
  <si>
    <t>1017-0839</t>
  </si>
  <si>
    <t>2311-7680</t>
  </si>
  <si>
    <t>TERR ATMOS OCEAN SCI</t>
  </si>
  <si>
    <t>Terr. Atmos. Ocean. Sci.</t>
  </si>
  <si>
    <t>10.3319/TAO.2008.19.1-2.135(SA)</t>
  </si>
  <si>
    <t>Geosciences, Multidisciplinary; Meteorology &amp; Atmospheric Sciences; Oceanography</t>
  </si>
  <si>
    <t>Geology; Meteorology &amp; Atmospheric Sciences; Oceanography</t>
  </si>
  <si>
    <t>300WQ</t>
  </si>
  <si>
    <t>Green Submitted, Green Accepted, gold</t>
  </si>
  <si>
    <t>WOS:000255856500014</t>
  </si>
  <si>
    <t>Nielsen, JG; King, ND; Moller, PR</t>
  </si>
  <si>
    <t>Nielsen, Jorgen G.; King, Nicola D.; Moller, Peter Rask</t>
  </si>
  <si>
    <t>Rare abyssal, ophidiid fishes from off the Crozet Islands, Southern Ocean, with a new species of Apagesoma Carter, 1983</t>
  </si>
  <si>
    <t>CYBIUM</t>
  </si>
  <si>
    <t>Ophidiidae; Apagesoma australis n. sp.; Holcomycteronus brucei; Bathyonus sp.; Crozet Islands; Southern Ocean</t>
  </si>
  <si>
    <t>DELOSOMMATUS; ATLANTIC</t>
  </si>
  <si>
    <t>Seven ophidiid specimens were collected during the benthic Crozet research cruise (RRS Discovery, D300), December 2005-January 2006, Indian sector of the Southern Ocean. Two are Apagesoma australis n. sp., which can be distinguished from the two described species in this genus by the number of precaudal vertebrae (15 vs 13), body depth at origin of anal fin 9.0-10.5 vs 17.0-21.0% SL and the shape of the sagittal otoliths. Four specimens are examples of the rare Holcomycteronus brucei (Dollo, 1906), that until now is known from only three specimens. The last specimen is referred to Bathyonus Goode &amp; Bean, 1885 a genus in need of revision. The new species is described and additional diagnostic characters are provided for H. brucei. Including the present material 13 specimens of Ophidiidae have now been reported from Antarctic/Sub Antarctic waters.</t>
  </si>
  <si>
    <t>[Nielsen, Jorgen G.; Moller, Peter Rask] Univ Copenhagen, Zool Museum, Nat Hist Museum, DK-2100 Copenhagen O, Denmark; [King, Nicola D.] Univ Aberdeen, Oceanlab, Newburgh AB41 6AA, Scotland</t>
  </si>
  <si>
    <t>University of Copenhagen; University of Aberdeen</t>
  </si>
  <si>
    <t>Nielsen, JG (corresponding author), Univ Copenhagen, Zool Museum, Nat Hist Museum, Univ Sparken 15, DK-2100 Copenhagen O, Denmark.</t>
  </si>
  <si>
    <t>jgnielsen@snm.ku.dk</t>
  </si>
  <si>
    <t>Møller, Peter/A-8807-2013</t>
  </si>
  <si>
    <t>Møller, Peter/0000-0002-0177-0977</t>
  </si>
  <si>
    <t>SOC FRANCAISE D ICHTYOLOGIE</t>
  </si>
  <si>
    <t>PARIS</t>
  </si>
  <si>
    <t>MUSEUM NATL D HISTOIRE NATURELLE, 43 RUE CUVIER, 75231 PARIS, FRANCE</t>
  </si>
  <si>
    <t>0399-0974</t>
  </si>
  <si>
    <t>Cybium</t>
  </si>
  <si>
    <t>MAR 31</t>
  </si>
  <si>
    <t>311BO</t>
  </si>
  <si>
    <t>WOS:000256575200005</t>
  </si>
  <si>
    <t>Smale, D</t>
  </si>
  <si>
    <t>Smale, Dan</t>
  </si>
  <si>
    <t>Spatial variability in the distribution of dominant shallow-water benthos at Adelaide Island, Antarctica</t>
  </si>
  <si>
    <t>Antarctic Peninsula; patchiness; polar macrofauna; spatial patterns</t>
  </si>
  <si>
    <t>ROCKY INTERTIDAL COMMUNITIES; SOUTH-SHETLAND ISLANDS; KING GEORGE ISLAND; ICE-SCOUR; EAST ANTARCTICA; CLIMATE-CHANGE; CASEY STATION; SIGNY ISLAND; DISTURBANCE; ASSEMBLAGES</t>
  </si>
  <si>
    <t>Studies from temperate and tropical regions have shown that variability in the distribution of benthos exists at different spatial scales. There are very few similar studies from polar systems, the shallows of which represent some of the most intensely disturbed habitats on the planet. Variability in the abundances of the five most common macrofauna was examined at three spatial scales, metres, tens of metres and hundreds of metres, in the shallows (5-25 m depth) of Adelaide Island, West Antarctic Peninsula. Whilst significant community change occurs along a depth gradient at the study sites, not all of the common species studied showed clear depth-related patterns of distribution. Furthermore, although abundance patterns varied between the organisms, consistent depth-related trends in the spatial scale contributing most to the variability were observed for four of the five species. For four species the relative importance of large-scale variability (between sites) decreased from 5 to 25 in depth, whilst small-scale variability (between replicates) increased along the depth gradient. Variation between sites is probably largely driven by ice disturbance, which becomes less frequent with depth. Conversely, small-scale patchiness is promoted by biological interactions, which become relatively more influential as community complexity and species richness increase along the depth gradient. (C) 2008 Elsevier B.V. All rights reserved.</t>
  </si>
  <si>
    <t>British Antarctic Survey, Natl Environm Res Council, Cambridge CB3 0ET, England</t>
  </si>
  <si>
    <t>Smale, D (corresponding author), British Antarctic Survey, Natl Environm Res Council, High Cross,Madingley Rd, Cambridge CB3 0ET, England.</t>
  </si>
  <si>
    <t>Smale, Daniel/Y-2909-2019; Smale, Dan A/B-3240-2011</t>
  </si>
  <si>
    <t>Smale, Daniel/0000-0003-4157-541X;</t>
  </si>
  <si>
    <t>10.1016/j.jembe.2008.01.014</t>
  </si>
  <si>
    <t>286LB</t>
  </si>
  <si>
    <t>WOS:000254846300006</t>
  </si>
  <si>
    <t>Krützmann, NC; McDonald, AJ; George, SE</t>
  </si>
  <si>
    <t>Krutzmann, N. C.; McDonald, A. J.; George, S. E.</t>
  </si>
  <si>
    <t>Identification of mixing barriers in chemistry-climate model simulations using Renyi entropy</t>
  </si>
  <si>
    <t>EFFECTIVE DIFFUSIVITY; VARIABILITY; TRANSPORT</t>
  </si>
  <si>
    <t>This study examines how the Renyi entropy statistical measure (RE; a generalization of Shannon entropy) can be applied to long-lived tracer data (e. g. methane), to understand mixing in the stratosphere. In order to show that RE can be used for this task we focus on the southern hemisphere stratosphere and the significant impact of the Antarctic polar vortex on the dynamics in this region. Using methane data from simulations of the chemistry-climate model SOCOL, we find clear patterns, consistent with those identified in previous studies of mixing. RE has the significant benefit that it is data driven and requires considerably less computational effort than other techniques. This initial study suggests that RE has a significant potential as a quantitative measure for analyzing mixing in the atmosphere.</t>
  </si>
  <si>
    <t>[Krutzmann, N. C.; McDonald, A. J.; George, S. E.] Univ Canterbury, Dept Phys &amp; Astron, Christchurch 8140, New Zealand</t>
  </si>
  <si>
    <t>University of Canterbury</t>
  </si>
  <si>
    <t>Krützmann, NC (corresponding author), Univ Canterbury, Dept Phys &amp; Astron, Private Bag 4800, Christchurch 8140, New Zealand.</t>
  </si>
  <si>
    <t>McDonald, Adrian/0000-0002-1456-6254; George, Steve/0000-0002-0396-0299</t>
  </si>
  <si>
    <t>MAR 27</t>
  </si>
  <si>
    <t>L06806</t>
  </si>
  <si>
    <t>10.1029/2007GL032829</t>
  </si>
  <si>
    <t>281XK</t>
  </si>
  <si>
    <t>WOS:000254532000001</t>
  </si>
  <si>
    <t>Lozada, M; Mercadal, JPR; Guerrero, LD; Di Marzio, WD; Ferrero, MA; Dionisi, HM</t>
  </si>
  <si>
    <t>Lozada, Mariana; Mercadal, Juan P. Riva; Guerrero, Leandro D.; Di Marzio, Walter D.; Ferrero, Marcela A.; Dionisi, Hebe M.</t>
  </si>
  <si>
    <t>Novel aromatic ring-hydroxylating dioxygenase genes from coastal marine sediments of Patagonia</t>
  </si>
  <si>
    <t>BMC MICROBIOLOGY</t>
  </si>
  <si>
    <t>NAPHTHALENE DIOXYGENASE; HYDROCARBON DEGRADATION; PAH-DEGRADATION; RIBOSOMAL-RNA; IN-SITU; STRAINS; BACTERIA; OIL; AMPLIFICATION; EXPRESSION</t>
  </si>
  <si>
    <t>Background: Polycyclic aromatic hydrocarbons (PAHs), widespread pollutants in the marine environment, can produce adverse effects in marine organisms and can be transferred to humans through seafood. Our knowledge of PAH-degrading bacterial populations in the marine environment is still very limited, and mainly originates from studies of cultured bacteria. In this work, genes coding catabolic enzymes from PAH-biodegradation pathways were characterized in coastal sediments of Patagonia with different levels of PAH contamination. Results: Genes encoding for the catalytic alpha subunit of aromatic ring-hydroxylating dioxygenases (ARHDs) were amplified from intertidal sediment samples using two different primer sets. Products were cloned and screened by restriction fragment length polymorphism analysis. Clones representing each restriction pattern were selected in each library for sequencing. A total of 500 clones were screened in 9 gene libraries, and 193 clones were sequenced. Libraries contained one to five different ARHD gene types, and this number was correlated with the number of PAHs found in the samples above the quantification limit (r=0.834, p &lt; 0.05). Overall, eight different ARHD gene types were detected in the sediments. In five of them, their deduced amino acid sequences formed deeply rooted branches with previously described ARHD peptide sequences, exhibiting less than 70% identity to them. They contain consensus sequences of the Rieske type [2Fe-2S] cluster binding site, suggesting that these gene fragments encode for ARHDs. On the other hand, three gene types were closely related to previously described ARHDs: archetypical nahAc-like genes, phnAc-like genes as identified in Alcaligenes faecalis AFK2, and phnA1-like genes from marine PAH-degraders from the genus Cycloclasticus. Conclusion: These results show the presence of hitherto unidentified ARHD genes in this sub-Antarctic marine environment exposed to anthropogenic contamination. This information can be used to study the geographical distribution and ecological significance of bacterial populations carrying these genes, and to design molecular assays to monitor the progress and effectiveness of remediation technologies.</t>
  </si>
  <si>
    <t>[Lozada, Mariana; Dionisi, Hebe M.] Ctr Nacl Patagon CENPAT CONICET, RA-9120 Puerto Madryn, Chubut, Argentina; [Mercadal, Juan P. Riva; Ferrero, Marcela A.] Planta Piloto Proc Ind Microbiol PROIMI CONICET, RA-4000 San Miguel De Tucuman, Tucuman, Argentina; [Guerrero, Leandro D.] Univ Nacl Patagonia San Juan Bosco, RA-9100 Trelew, Chubut, Argentina; [Di Marzio, Walter D.] Univ Nacl Lujan CONICET, Programa Invest Ecotoxicol Intersecc Rutas 5 &amp; 7, RA-6700 Lujan, Buenos Aires, Argentina</t>
  </si>
  <si>
    <t>Centro Nacional Patagonico (CENPAT); Consejo Nacional de Investigaciones Cientificas y Tecnicas (CONICET); Consejo Nacional de Investigaciones Cientificas y Tecnicas (CONICET); Universidad Nacional de la Patagonia San Juan Bosco; Universidad Nacional de Lujan; Consejo Nacional de Investigaciones Cientificas y Tecnicas (CONICET)</t>
  </si>
  <si>
    <t>Dionisi, HM (corresponding author), Ctr Nacl Patagon CENPAT CONICET, Blvd Brown 2825, RA-9120 Puerto Madryn, Chubut, Argentina.</t>
  </si>
  <si>
    <t>lozada@cenpat.edu.ar; rivamercadal@proimi.org.ar; guerrero@dna.uba.ar; ecotoxicologia@aae.org.ar; mferrero@proimi.org.ar; hdionisi@cenpat.edu.ar</t>
  </si>
  <si>
    <t>LOZADA, MARIANA/0000-0003-4037-9169; Dionisi, Hebe Monica/0000-0002-8075-2311</t>
  </si>
  <si>
    <t>1471-2180</t>
  </si>
  <si>
    <t>BMC MICROBIOL</t>
  </si>
  <si>
    <t>BMC Microbiol.</t>
  </si>
  <si>
    <t>MAR 25</t>
  </si>
  <si>
    <t>10.1186/1471-2180-8-50</t>
  </si>
  <si>
    <t>297XG</t>
  </si>
  <si>
    <t>WOS:000255650100001</t>
  </si>
  <si>
    <t>Brierley, AS</t>
  </si>
  <si>
    <t>Brierley, Andrew S.</t>
  </si>
  <si>
    <t>Antarctic Ecosystem: Are deep krill ecologicla outliers or portents of a paradigm shift?</t>
  </si>
  <si>
    <t>CURRENT BIOLOGY</t>
  </si>
  <si>
    <t>EUPHAUSIA-SUPERBA; SOUTHERN-OCEAN; SEA; VARIABILITY; ABUNDANCE</t>
  </si>
  <si>
    <t>Univ St Andrews, Pelag Ecol Res Grp, Gatty Marine Lab, St Andrews KY16 8LB, Fife, Scotland</t>
  </si>
  <si>
    <t>Brierley, AS (corresponding author), Univ St Andrews, Pelag Ecol Res Grp, Gatty Marine Lab, St Andrews KY16 8LB, Fife, Scotland.</t>
  </si>
  <si>
    <t>asb4@st-and.ac.uk</t>
  </si>
  <si>
    <t>Brierley, Andrew/G-8019-2011</t>
  </si>
  <si>
    <t>Brierley, Andrew/0000-0002-6438-6892</t>
  </si>
  <si>
    <t>CELL PRESS</t>
  </si>
  <si>
    <t>50 HAMPSHIRE ST, FLOOR 5, CAMBRIDGE, MA 02139 USA</t>
  </si>
  <si>
    <t>0960-9822</t>
  </si>
  <si>
    <t>1879-0445</t>
  </si>
  <si>
    <t>CURR BIOL</t>
  </si>
  <si>
    <t>Curr. Biol.</t>
  </si>
  <si>
    <t>R252</t>
  </si>
  <si>
    <t>R254</t>
  </si>
  <si>
    <t>10.1016/j.cub.2008.01.022</t>
  </si>
  <si>
    <t>281NC</t>
  </si>
  <si>
    <t>WOS:000254503300016</t>
  </si>
  <si>
    <t>Roberts, SJ; Hodgson, DA; Bentley, MJ; Smith, JA; Millar, IL; Olive, V; Sugden, DE</t>
  </si>
  <si>
    <t>Roberts, S. J.; Hodgson, D. A.; Bentley, M. J.; Smith, J. A.; Millar, I. L.; Olive, V.; Sugden, D. E.</t>
  </si>
  <si>
    <t>The Holocene history of George VI Ice Shelf, Antarctic Peninsula from clast-provenance analysis of epishelf lake sediments</t>
  </si>
  <si>
    <t>General Assembly of the European-Union-of-Geosciences</t>
  </si>
  <si>
    <t>APR 24-29, 2005</t>
  </si>
  <si>
    <t>Vienna, AUSTRIA</t>
  </si>
  <si>
    <t>Antarctica; lakes; isotope geochemistry; sedimentology; climate change; ice-shelf</t>
  </si>
  <si>
    <t>FORE-ARC MAGMATISM; ALEXANDER-ISLAND; PALMER LAND; CONTINENTAL RISE; AGE CALIBRATION; RETREAT; WEST; RADIOCARBON; SHEET; VARIABILITY</t>
  </si>
  <si>
    <t>The Antarctic Peninsula has experienced a dramatic increase in temperature and the loss of ca. 14,000 km(2) of ice-shelf area in recent years. During this time George VI Ice Shelf (GVIIS) has remained relatively intact, but it is now reaching its theoretical limit of viability. Epishelf lakes, formed when ice shelves dam the mouths of marine embayments, accumulate sediments that can be used to constrain past ice-shelf behaviour. They are stratified water bodies with an upper layer of fresh meltwater overlying a marine layer of water. Multi-proxy analysis of a sediment core from Moutonnee Lake, an epishelf lake dammed by GVIIS on the east coast of Alexander Island, has recently shown that it retreated to at least the Ablation Point area in the early Holocene, ca. 9600-7500 years BP, demonstrating its vulnerability to periods of atmospheric and oceanic warmth. This study tests this interpretation of ice-shelf collapse through detailed analyses of granulometric, geochemical and Sr and Nd isotope provenance data for &gt; 8 mm clasts from the same cores. Clast data from Moutonnee Lake were compared with geological reference data from two further lakes on Alexander Island (Ablation Lake and Citadel Bastion Lake) and an extensive archive of rocks and isotope-geochemical provenance data from the Antarctic Peninsula region. Underpinning this provenance analysis is the contrast between the plutonic/igneous outcrops in Palmer Land on the western side and the predominantly sedimentary strata of Alexander Island on the eastern side of George VI Sound, and the different patterns in their deposition that would be expected at Moutonnee Lake during periods of ice-shelf presence and absence. Results show that changes in clast distribution and provenance reflect the early Holocene retreat and reformation of George VI Ice Shelf at Moutonnee Lake. The period of ice-shelf retreat was marked by the onset of marine conditions in the basin followed by a rapidly deposited zone of clasts whose provenance, distribution, varied lithology and larger than average clast size are indicative of a period of lake ice disintegration and ice-rafted debris deposition between ca. 9600-8450 years BP. Igneous clasts in the ice-rafted debris have a close affinity with the plutonic provinces of western Palmer Land suggesting transport to the site by icebergs or recycling through Alexander Island strata/ moraines. When epishelf lake conditions returned after ca. 7500 years BP, the clasts were smaller, the number of lithologies more limited and the assemblage dominated by olive-green vitric tuff and pale-green rhyolitic clasts that isotope data link to Early Cretaceous volcanic activity in Palmer Land. Their dominance in the upper part of the core most likely relates to increased erosion of Palmer Land ash/tuffs from volcanic outcrops on the floor of Moutonnee Valley and implies a downturn in climate after ca. 7500 years BP and the reformation of George VI Ice Shelf. (c) 2007 Elsevier B.V. All rights reserved.</t>
  </si>
  <si>
    <t>[Roberts, S. J.; Hodgson, D. A.; Bentley, M. J.; Smith, J. A.] British Antarctic Survey, NERC, Cambridge CB3 0ET, England; [Bentley, M. J.; Smith, J. A.] Univ Durham, Dept Geog, Durham DH1 3LE, England; [Millar, I. L.] British Geol Survey, NERC, Isotope Geosci Lab, Keyworth NG12 5GG, Notts, England; [Olive, V.] Scottish Enterprise &amp; Technol Pk, Scottish Univ Environm Res Ctr, E Kilbride G75 0QF, Lanark, Scotland; [Sugden, D. E.] Univ Edinburgh, Sch Geosci, Edinburgh EH9 3GW, Midlothian, Scotland</t>
  </si>
  <si>
    <t>UK Research &amp; Innovation (UKRI); Natural Environment Research Council (NERC); NERC British Antarctic Survey; Durham University; UK Research &amp; Innovation (UKRI); Natural Environment Research Council (NERC); NERC British Geological Survey; Scottish Universities Research &amp; Reactor Center; University of Edinburgh</t>
  </si>
  <si>
    <t>Roberts, SJ (corresponding author), British Antarctic Survey, NERC, High Cross,Madingley Rd, Cambridge CB3 0ET, England.</t>
  </si>
  <si>
    <t>sjro@bas.ac.uk</t>
  </si>
  <si>
    <t>Millar, Ian L/F-1541-2010; Bentley, Michael J/F-7386-2011; Smith, James A/N-1836-2013</t>
  </si>
  <si>
    <t>Bentley, Michael J/0000-0002-2048-0019; Roberts, Stephen/0000-0003-3407-9127</t>
  </si>
  <si>
    <t>NERC [bgs04003, nigl010001, bas010016] Funding Source: UKRI; Natural Environment Research Council [bgs04003, bas010016, nigl010001] Funding Source: researchfish</t>
  </si>
  <si>
    <t>MAR 24</t>
  </si>
  <si>
    <t>10.1016/j.palaeo.2007.10.010</t>
  </si>
  <si>
    <t>284GR</t>
  </si>
  <si>
    <t>WOS:000254695400012</t>
  </si>
  <si>
    <t>Cockburn, A; Osmond, HL; Double, MC</t>
  </si>
  <si>
    <t>Cockburn, Andrew; Osmond, Helen L.; Double, Michael C.</t>
  </si>
  <si>
    <t>Swingin' in the rain: condition dependence and sexual selection in a capricious world</t>
  </si>
  <si>
    <t>PROCEEDINGS OF THE ROYAL SOCIETY B-BIOLOGICAL SCIENCES</t>
  </si>
  <si>
    <t>condition-dependent signal; sexual selection; mate choice; de-lifing; cooperative breeding; Malurus</t>
  </si>
  <si>
    <t>SUPERB FAIRY-WRENS; BY-ENVIRONMENT INTERACTIONS; GUPPY POECILIA-RETICULATA; PAIR MATE CHOICE; MALURUS-CYANEUS; MATING PREFERENCES; LEK PARADOX; GENETIC BENEFITS; CLIMATE-CHANGE; FEMALE CHOICE</t>
  </si>
  <si>
    <t>Signals used in mate attraction are predicted to be highly condition dependent, and thus should be sensitive to environmental contributions to condition. However, the effects of temporal fluctuations in the environment on sexual selection in long-lived animals have been largely ignored. Female superb fairy-wrens, Malurus cyaneus, use the time that males moult into nuptial plumage prior to the onset of the breeding season to distinguish between the extra-group sires that dominate paternity. Although moult varies predictably with age, and shows marked differences between males, the phenotypic distribution also changes radically with climate; so after dry summers few males can attempt early moult. We use the recently introduced de-lifing technique to examine sexual selection gradients over 15 years of selection. Overall, there was strong evidence of directional sexual selection for early moult. However, sexual selection was much stronger when the conditions were favourable ( rainfall was high), and selection was undetectable in some years. The contribution of early moulting males to population growth increased when many males moulted early, decreased when early moulting males suffered disproportionate mortality and decreased when females lacked subordinate helpers, forcing them to cede paternity to their social partner. These data suggest that short-term and laboratory studies of mate choice and sexual selection may misrepresent or underestimate the complexity of the sexual selection landscape.</t>
  </si>
  <si>
    <t>[Cockburn, Andrew; Osmond, Helen L.; Double, Michael C.] Australian Natl Univ, Sch Bot &amp; Zool, Evolutionary Ecol Grp, Canberra, ACT 0200, Australia; [Cockburn, Andrew] Univ Cape Town, DST NRF Ctr Excellence, Percy Fitzpatrick Inst African Ornithol, ZA-7701 Rondebosch, South Africa; [Double, Michael C.] Australian Antarctic Div, Kingston, Tas 7050, Australia</t>
  </si>
  <si>
    <t>Australian National University; National Research Foundation - South Africa; University of Cape Town; Australian Antarctic Division</t>
  </si>
  <si>
    <t>Cockburn, A (corresponding author), Australian Natl Univ, Sch Bot &amp; Zool, Evolutionary Ecol Grp, Canberra, ACT 0200, Australia.</t>
  </si>
  <si>
    <t>andrew.cockburn@anu.edu.au</t>
  </si>
  <si>
    <t>Johnstone, Audra/C-8158-2009</t>
  </si>
  <si>
    <t>ROYAL SOC</t>
  </si>
  <si>
    <t>6-9 CARLTON HOUSE TERRACE, LONDON SW1Y 5AG, ENGLAND</t>
  </si>
  <si>
    <t>0962-8452</t>
  </si>
  <si>
    <t>P R SOC B</t>
  </si>
  <si>
    <t>Proc. R. Soc. B-Biol. Sci.</t>
  </si>
  <si>
    <t>MAR 22</t>
  </si>
  <si>
    <t>10.1098/rspb.2007.0916</t>
  </si>
  <si>
    <t>Biology; Ecology; Evolutionary Biology</t>
  </si>
  <si>
    <t>Life Sciences &amp; Biomedicine - Other Topics; Environmental Sciences &amp; Ecology; Evolutionary Biology</t>
  </si>
  <si>
    <t>256YD</t>
  </si>
  <si>
    <t>WOS:000252764900003</t>
  </si>
  <si>
    <t>Schwabe, E</t>
  </si>
  <si>
    <t>Schwabe, Enrico</t>
  </si>
  <si>
    <t>Discovery of the South African polyplacophoran Stenosemus simplicissimus (Thiele, 1906) (Mollusca, Polyplacophora, Ischnochitonidae) in the Southern Ocean</t>
  </si>
  <si>
    <t>AMERICAN MALACOLOGICAL BULLETIN</t>
  </si>
  <si>
    <t>Symposium on Cephalopods - A Behavioral Perspective</t>
  </si>
  <si>
    <t>JUL 29-AUG 03, 2006</t>
  </si>
  <si>
    <t>Seattle, WA</t>
  </si>
  <si>
    <t>Atlantic Ocean; Antarctica; zoogeography; distribution; new records</t>
  </si>
  <si>
    <t>Recent expeditions to the Atlantic sector of the Southern Ocean have yielded valuable collections of shelf and deep water polyplacophorans. These included several specimens of Stenosemus simplicissimus (Thiele, 1906), a species previously known only by its holotype and type locality at the Cape of Good Hope. The new material enabled a thorough morphological redescription of the species by studying valve, perinotum, and radula characters with SEM. The new records from Shag Rocks and the eastern Weddell Sea enlarge the species' biogeographic distribution from the temperate South African region to the polar South Georgia and Weddell Sea regions. Its bathymetric range is extended from 318 in to 285-1064 m. The limited occurrence of deep-water Antarctic polyplacophorans may be caused by benthic predators that limit the expansion of non-herbivorous chitons in the Antarctic deep sea.</t>
  </si>
  <si>
    <t>Zool Staatssammlung Munchen, D-81247 Munich, Germany</t>
  </si>
  <si>
    <t>Schwabe, E (corresponding author), Zool Staatssammlung Munchen, Munchhausenstr 21, D-81247 Munich, Germany.</t>
  </si>
  <si>
    <t>enrico.schwabe@zsm.mwn.de</t>
  </si>
  <si>
    <t>AMER MALACOLOGICAL SOC, INC</t>
  </si>
  <si>
    <t>WILMINGTON</t>
  </si>
  <si>
    <t>DELAWARE MUSEUM NATURAL HISTORY, BOX 3937, WILMINGTON, DE 19807-0937 USA</t>
  </si>
  <si>
    <t>0740-2783</t>
  </si>
  <si>
    <t>2162-2698</t>
  </si>
  <si>
    <t>AM MALACOL BULL</t>
  </si>
  <si>
    <t>Am. Malacol. Bull.</t>
  </si>
  <si>
    <t>MAR 21</t>
  </si>
  <si>
    <t>10.4003/0740-2783-24.1.71</t>
  </si>
  <si>
    <t>286TZ</t>
  </si>
  <si>
    <t>WOS:000254870200010</t>
  </si>
  <si>
    <t>Mackie, DS; Boyd, PW; McTainsh, GH; Tindale, NW; Westberry, TK; Hunter, KA</t>
  </si>
  <si>
    <t>Mackie, Doug S.; Boyd, Philip W.; McTainsh, Grant H.; Tindale, Neil W.; Westberry, Toby K.; Hunter, Keith A.</t>
  </si>
  <si>
    <t>Biogeochemistry of iron in Australian dust: From eolian uplift to marine uptake</t>
  </si>
  <si>
    <t>ANTARCTIC SOUTHERN-OCEAN; ATLANTIC-OCEAN; SAHARAN DUST; ATMOSPHERIC TRANSPORT; EASTERN AUSTRALIA; NITROGEN-FIXATION; TRACE-METALS; MINERAL DUST; SOURCE AREAS; DOME-C</t>
  </si>
  <si>
    <t>Dust is an important vector for iron supply to the ocean, which subsequently impacts ocean productivity, atmospheric CO2 concentrations, and hence global climate. Here, we synthesize the processes influencing the biogeochemistry of Australian dust and compare them with those from other Southern Hemisphere dust sources. Our observations range from soil and dust physical properties to abrasion and cloud chamber chemistry experiments to dust storms and their dispersion and deposition. We then present satellite observations of the impact of episodic dust deposition events on the productivity of low- iron oceanic waters north ( i. e., low- nitrate, low- chlorophyll ( LNLC)) and south ( i. e., high- nitrate, low-chlorophyll ( HNLC)) of Australia. Dust deposition from the largest dust storm in over 40 years did not result in iron- mediated algal blooms in either oceanic region. A comparison of Australia with other Southern Hemisphere source regions reveals that the relatively well sampled Australian system is a poor generic model. Furthermore, there are marked distinctions between Southern and Northern Hemisphere iron/ dust biogeochemistry that must be recognized by modelers and included in future simulations. Better information is required on the relative role of the atmosphere and ocean on influencing iron biogeochemistry and how their relative influences might change in the future due to climate change.</t>
  </si>
  <si>
    <t>[Mackie, Doug S.; Hunter, Keith A.] Univ Otago, Dept Chem, Dunedin 9001, New Zealand; [Boyd, Philip W.] Univ Otago, NIWA Ctr Chem &amp; Phys Oceanog, Dept Chem, Dunedin 9001, New Zealand; [McTainsh, Grant H.] Griffith Univ, Australian Rivers Inst, Griffith Sch Environm, Brisbane, Qld 4111, Australia; [Tindale, Neil W.] Univ Sunshine Coast, Fac Sci Hlth &amp; Educ, Maroochydore, Qld 4558, Australia; [Westberry, Toby K.] Oregon State Univ, Dept Bot &amp; Plant Pathol, Corvallis, OR 97331 USA</t>
  </si>
  <si>
    <t>University of Otago; University of Otago; Griffith University; University of the Sunshine Coast; Oregon State University</t>
  </si>
  <si>
    <t>Mackie, DS (corresponding author), Univ Otago, Dept Chem, POB 56, Dunedin 9001, New Zealand.</t>
  </si>
  <si>
    <t>dmackie@alkali.otago.ac.nz</t>
  </si>
  <si>
    <t>Westberry, Toby/A-9871-2013; Boyd, Philip/J-7624-2014</t>
  </si>
  <si>
    <t>Boyd, Philip/0000-0001-7850-1911</t>
  </si>
  <si>
    <t>Q03Q08</t>
  </si>
  <si>
    <t>10.1029/2007GC001813</t>
  </si>
  <si>
    <t>281SX</t>
  </si>
  <si>
    <t>WOS:000254520300001</t>
  </si>
  <si>
    <t>Bidartondo, MI; Bruns, TD; Blackwell, M; Edwards, I; Taylor, AFS; Horton, T; Zhang, N; Koljalg, U; May, G; Kuyper, TW; Bever, JD; Gilbert, G; Taylor, JW; DeSantis, TZ; Pringle, A; Borneman, J; Thorn, G; Berbee, M; Mueller, GM; Andersen, GL; Vellinga, EC; Branco, S; Anderson, I; Dickie, IA; Avis, P; Timonen, S; Kjoller, R; Lodge, DJ; Bateman, RM; Purvis, A; Crous, PW; Hawkes, C; Barraclough, T; Burt, A; Nilsson, RH; Larsson, KH; Alexander, I; Moncalvo, JM; Berube, J; Spatafora, J; Lumbsch, HT; Blair, JE; Suh, SO; Pfister, DH; Binder, M; Boehm, EW; Kohn, L; Mata, JL; Dyer, P; Sung, GH; Dentinger, B; Simmons, EG; Baird, RE; Volk, TJ; Perry, BA; Kerrigan, RW; Campbell, J; Rajesh, J; Reynolds, DR; Geiser, D; Humber, RA; Hausmann, N; Szaro, T; Stajich, J; Gathman, A; Peay, KG; Henkel, T; Robinson, CH; Pukkila, PJ; Nguyen, NH; Villalta, C; Kennedy, P; Bergemann, S; Aime, MC; Kauff, F; Porras-Alfaro, A; Gueidan, C; Beck, A; Andersen, B; Marek, S; Crouch, JA; Kerrigan, J; Ristaino, JB; Hodge, KT; Kuldau, G; Samuels, GJ; Raja, HA; Voglmayr, H; Gardes, M; Janos, DP; Rogers, JD; Cannon, P; Woolfolk, SW; Kistler, HC; Castellano, MA; Maldonado-Ramírez, SL; Kirk, PM; Farrar, JJ; Osmundson, T; Currah, RS; Vujanovic, V; Chen, WD; Korf, RP; Atallah, ZK; Harrison, KJ; Guarro, J; Bates, ST; Bonello, P; Bridge, P; Schell, W; Rossi, W; Stenlid, J; Frisvad, JC; Miller, RM; Baker, SE; Hallen, HE; Janso, JE; Wilson, AW; Conway, KE; Egerton-Warburton, L; Wang, Z; Eastburn, D; Ho, WWH; Kroken, S; Stadler, M; Turgeon, G; Lichtwardt, RW; Stewart, EL; Wedin, M; Li, DW; Uchida, JY; Jumpponen, A; Deckert, RJ; Beker, HJ; Rogers, SO; Xu, JAP; Johnston, P; Shoemaker, RA; Liu, MA; Marques, G; Summerell, B; Sokolski, S; Thrane, U; Widden, P; Bruhn, JN; Bianchinotti, V; Tuthill, D; Baroni, TJ; Barron, G; Hosaka, K; Jewell, K; Piepenbring, M; Sullivan, R; Griffith, GW; Bradley, SG; Aoki, T; Yoder, WT; Ju, YM; Berch, SM; Trappe, M; Duan, WJ; Bonito, G; Taber, RA; Coelho, G; Bills, G; Ganley, A; Agerer, R; Nagy, L; Roy, BA; Læssoe, T; Hallenberg, N; Tichy, HV; Stalpers, J; Langer, E; Scholler, M; Krueger, D; Pacioni, G; Pöder, R; Pennanen, T; Capelari, M; Nakasone, K; Tewari, JP; Miller, AN; Decock, C; Huhndorf, S; Wach, M; Vishniac, HS; Yohalem, DS; Smith, ME; Glenn, AE; Spiering, M; Lindner, DL; Schoch, C; Redhead, SA; Ivors, K; Jeffers, SN; Geml, J; Okafor, F; Spiegel, FW; Dewsbury, D; Carroll, J; Porter, TM; Pashley, C; Carpenter, SE; Abad, G; Voigt, K; Arenz, B; Methven, AS; Schechter, S; Vance, P; Mahoney, D; Kang, SC; Rheeder, JP; Mehl, J; Greif, M; Ngala, GN; Ammirati, J; Kawasaki, M; Gwo-Fang, YA; Matsumoto, T; Smith, D; Koenig, G; Luoma, D; May, T; Leonardi, M; Sigler, L; Taylor, DL; Gibson, C; Sharpton, T; Hawksworth, DL; Dianese, JC; Trudell, SA; Paulus, B; Padamsee, M; Callac, P; Lima, N; White, M; Barreau, C; Juncai, MA; Buyck, B; Rabeler, RK; Liles, MR; Estes, D; Carter, R; Herr, JM; Chandler, G; Kerekes, J; Cruse-Sanders, J; Márquez, RG; Horak, E; Fitzsimons, M; Döring, H; Yao, S; Hynson, N; Ryberg, M; Arnold, AE; Hughes, K</t>
  </si>
  <si>
    <t>Bidartondo, M. I.; Bruns, Thomas D.; Blackwell, Meredith; Edwards, Ivan; Taylor, Andy F. S.; Horton, Thomas; Zhang, Ning; Koljalg, Urmas; May, Georgiana; Kuyper, Thomas W.; Bever, James D.; Gilbert, Gregory; Taylor, John W.; DeSantis, Todd Z.; Pringle, Anne; Borneman, James; Thorn, Greg; Berbee, Mary; Mueller, Gregory M.; Andersen, Gary L.; Vellinga, Else C.; Branco, Sara; Anderson, Ian; Dickie, Ian A.; Avis, Peter; Timonen, Sari; Kjoller, Rasmus; Lodge, D. J.; Bateman, Richard M.; Purvis, Andy; Crous, Pedro W.; Hawkes, Christine; Barraclough, Tim; Burt, Austin; Nilsson, R. H.; Larsson, Karl-Henrik; Alexander, Ian; Moncalvo, Jean-Marc; Berube, Jean; Spatafora, Joseph; Lumbsch, H. Thorsten; Blair, Jaime E.; Suh, Sung-Oui; Pfister, Donald H.; Binder, Manfred; Boehm, Eric W.; Kohn, Linda; Mata, Juan L.; Dyer, Paul; Sung, Gi-Ho; Dentinger, Bryn; Simmons, Emory G.; Baird, Richard E.; Volk, Thomas J.; Perry, Brian A.; Kerrigan, Richard W.; Campbell, Jinx; Rajesh, Jeewon; Reynolds, Don R.; Geiser, David; Humber, Richard A.; Hausmann, Natasha; Szaro, Tim; Stajich, Jason; Gathman, Allen; Peay, Kabir G.; Henkel, Terry; Robinson, Clare H.; Pukkila, Patricia J.; Nguyen, Nhu H.; Villalta, Christopher; Kennedy, Peter; Bergemann, Sarah; Aime, M. Catherine; Kauff, Frank; Porras-Alfaro, Andrea; Gueidan, Cecile; Beck, Andreas; Andersen, Birgitte; Marek, Stephen; Crouch, Jo A.; Kerrigan, Julia; Ristaino, Jean Beagle; Hodge, Kathie T.; Kuldau, Gretchen; Samuels, Gary J.; Raja, Huzefa A.; Voglmayr, Hermann; Gardes, Monique; Janos, David P.; Rogers, Jack D.; Cannon, Paul; Woolfolk, Sandra W.; Kistler, H. C.; Castellano, Michael A.; Maldonado-Ramirez, Sandra L.; Kirk, Paul M.; Farrar, James J.; Osmundson, Todd; Currah, Randolph S.; Vujanovic, Vladimir; Chen, Weidong; Korf, Richard P.; Atallah, Zahi K.; Harrison, Ken J.; Guarro, Josep; Bates, Scott T.; Bonello, Pierluigi (Enrico); Bridge, Paul; Schell, Wiley; Rossi, Walter; Stenlid, Jan; Frisvad, Jens C.; Miller, R. M.; Baker, Scott E.; Hallen, Heather E.; Janso, Jeffrey E.; Wilson, Andrew W.; Conway, Kenneth E.; Egerton-Warburton, Louise; Wang, Zheng; Eastburn, Darin; Ho, Wellcome W. Hong; Kroken, Scott; Stadler, Marc; Turgeon, Gillian; Lichtwardt, Robert W.; Stewart, Elwin L.; Wedin, Mats; Li, De-Wei; Uchida, Janice Y.; Jumpponen, Ari; Deckert, Ron J.; Beker, Henry J.; Rogers, Scott O.; Xu, Jianping; Johnston, Peter; Shoemaker, R. A.; Liu, Miao; Marques, G.; Summerell, Brett; Sokolski, Serge; Thrane, Ulf; Widden, Paul; Bruhn, Johann N.; Bianchinotti, Virginia; Tuthill, Dorothy; Baroni, Timothy J.; Barron, George; Hosaka, Kentaro; Jewell, Kelsea; Piepenbring, Meike; Sullivan, Raymond; Griffith, Gareth W.; Bradley, S. G.; Aoki, Takayuki; Yoder, Wendy T.; Ju, Yu-Ming; Berch, Shannon M.; Trappe, Matt; Duan, Weijun; Bonito, Gregory; Taber, Ruth A.; Coelho, Gilberto; Bills, Gerald; Ganley, Austen; Agerer, Reinhard; Nagy, Laszlo; Roy, Barbara A.; Laessoe, Thomas; Hallenberg, Nils; Tichy, Hans-Volker; Stalpers, Joost; Langer, Ewald; Scholler, Markus; Krueger, Dirk; Pacioni, Giovanni; Poeder, Reinhold; Pennanen, Taina; Capelari, Marina; Nakasone, Karen; Tewari, J. P.; Miller, Andrew N.; Decock, Cony; Huhndorf, Sabine; Wach, Mark; Vishniac, Helen S.; Yohalem, David S.; Smith, Matthew E.; Glenn, Anthony E.; Spiering, Martin; Lindner, Daniel L.; Schoch, Conrad; Redhead, Scott A.; Ivors, Kelly; Jeffers, Steven N.; Geml, Jozsef; Okafor, Florence; Spiegel, Frederick W.; Dewsbury, Damon; Carroll, Juliet; Porter, Terri M.; Pashley, Catherine; Carpenter, Steven E.; Abad, Gloria; Voigt, Kerstin; Arenz, Brett; Methven, Andrew S.; Schechter, Shannon; Vance, Paula; Mahoney, Dan; Kang, Seogchan; Rheeder, John P.; Mehl, James; Greif, Matthew; Ngala, George Ndzi; Ammirati, Joe; Kawasaki, Masako; Gwo-Fang, Yuan; Matsumoto, Tadahiko; Smith, David; Koenig, Gina; Luoma, Daniel; May, Tom; Leonardi, Marco; Sigler, Lynne; Taylor, D. L.; Gibson, Cara; Sharpton, Thomas; Hawksworth, David L.; Dianese, Jose Carmine; Trudell, Steven A.; Paulus, Barbara; Padamsee, Mahajabeen; Callac, Philippe; Lima, Nelson; White, Merlin; Barreau, C.; Juncai, M. A.; Buyck, Bart; Rabeler, Richard K.; Liles, Mark R.; Estes, Dwayne; Carter, Richard; Herr, J. M., Jr.; Chandler, Gregory; Kerekes, Jennifer; Cruse-Sanders, Jennifer; Galan Marquez, R.; Horak, Egon; Fitzsimons, Michael; Doering, Heidi; Yao, Su; Hynson, Nicole; Ryberg, Martin; Arnold, A. E.; Hughes, Karen</t>
  </si>
  <si>
    <t>Preserving accuracy in GenBank</t>
  </si>
  <si>
    <t>Letter</t>
  </si>
  <si>
    <t>ANNOTATION; SEQUENCES; ERRORS</t>
  </si>
  <si>
    <t>[Bidartondo, M. I.] Univ London Imperial Coll Sci Technol &amp; Med, Richmond TW9 3DS, England; Royal Bot Gardens, Richmond TW9 3DS, Surrey, England; [Bruns, Thomas D.; Taylor, John W.; Vellinga, Else C.; Hausmann, Natasha; Szaro, Tim; Stajich, Jason; Peay, Kabir G.; Nguyen, Nhu H.; Villalta, Christopher; Schechter, Shannon; Sharpton, Thomas; Kerekes, Jennifer; Hynson, Nicole] Univ Calif Berkeley, Berkeley, CA 94720 USA; [Blackwell, Meredith] Louisiana State Univ, Baton Rouge, LA 70803 USA; [Edwards, Ivan; Rabeler, Richard K.] Univ Michigan, Ann Arbor, MI 48109 USA; [Taylor, Andy F. S.] Swedish Univ Agr Sci, S-75007 Uppsala, Sweden; [Horton, Thomas] SUNY ESF, Ithaca, NY 13210 USA; [Zhang, Ning; Hodge, Kathie T.; Korf, Richard P.; Turgeon, Gillian; Carroll, Juliet] Cornell Univ, Ithaca, NY 14853 USA; [Koljalg, Urmas] Univ Tartu, EE-51005 Tartu, Estonia; [May, Georgiana; Kistler, H. C.; Arenz, Brett; Padamsee, Mahajabeen] Univ Minnesota, St Paul, MN 55108 USA; [Kuyper, Thomas W.] Wageningen Univ, NL-6708 Wageningen, Netherlands; [Bever, James D.] Indiana Univ, Bloomington, IN 47405 USA; [Gilbert, Gregory] Univ Calif Santa Cruz, Santa Cruz, CA 95064 USA; [DeSantis, Todd Z.; Andersen, Gary L.] Lawrence Berkeley Natl Lab, Berkeley, CA 94720 USA; [Pringle, Anne; Pfister, Donald H.; Smith, Matthew E.] Harvard Univ, Cambridge, MA 02138 USA; [Borneman, James] Univ Calif, Riverside, CA 92521 USA; [Thorn, Greg] Univ Western Ontario, London, ON N6A 5B8, Canada; [Berbee, Mary] Univ British Columbia, Vancouver, BC V6T 1Z4, Canada; [Mueller, Gregory M.; Lumbsch, H. Thorsten; Hosaka, Kentaro; Huhndorf, Sabine; Greif, Matthew] Field Museum Nat Hist, Chicago, IL 60605 USA; [Branco, Sara; Fitzsimons, Michael] Univ Chicago, Chicago, IL 60637 USA; [Anderson, Ian] Univ Western Sydney, Penrith, NSW 1797, Australia; [Dickie, Ian A.] Landcare Res, Lincoln 7640, New Zealand; [Avis, Peter] Indiana U NW &amp; Field Museum, Gary, IN 46408 USA; [Timonen, Sari] Univ Helsinki, FIN-00014 Helsinki, Finland; [Kjoller, Rasmus] Univ Copenhagen, Biol Inst, DK-1353 Copenhagen, Denmark; [Lodge, D. J.] US Forest Serv, USDA, Luquillo, PR USA; [Bateman, Richard M.; Doering, Heidi] Royal Botan Gardens, Richmond TW9 3DS, Surrey, England; [Purvis, Andy; Barraclough, Tim; Burt, Austin] Imperial Coll London, London SW7 2AZ, England; [Crous, Pedro W.] CBS Fungal Biodivers Ctr, NL-3584 Utrecht, Netherlands; [Hawkes, Christine] Univ Texas Austin, Austin, TX 78712 USA; [Nilsson, R. H.; Larsson, Karl-Henrik; Hallenberg, Nils; Ryberg, Martin] Gothenburg Univ, S-40530 Gothenburg, Sweden; [Alexander, Ian] Univ Aberdeen, Aberdeen AB24 3UU, Scotland; [Moncalvo, Jean-Marc; Dentinger, Bryn] Royal Ontario Museum, Toronto, ON M5S 2C6, Canada; [Moncalvo, Jean-Marc; Dentinger, Bryn] Univ Toronto, Toronto, ON M5S 2C6, Canada; [Berube, Jean] Canadian Forest Serv, Quebec City, PQ G1V 4C7, Canada; [Spatafora, Joseph; Sung, Gi-Ho; Trappe, Matt; Schoch, Conrad; Luoma, Daniel] Oregon State Univ, Corvallis, OR 97331 USA; [Blair, Jaime E.] Amherst Coll, Amherst, MA 01002 USA; [Suh, Sung-Oui] American Type Culture Collect, Manassas, VA 20110 USA; [Binder, Manfred; Wilson, Andrew W.] Clark Univ, Worcester, MA 01610 USA; [Boehm, Eric W.] Kean Univ, Union, NJ 07083 USA; [Kohn, Linda; Dewsbury, Damon; Porter, Terri M.] Univ Toronto, Toronto, ON L5L 1C6, Canada; [Mata, Juan L.] Univ S Alabama, Mobile, AL 36688 USA; [Dyer, Paul] Univ Nottingham, Nottingham NG7 2RD, England; [Simmons, Emory G.] Wabash Coll, Crawfordsville, IN 47933 USA; [Baird, Richard E.; Woolfolk, Sandra W.] Mississippi State Univ, Mississippi State, MS 39762 USA; [Volk, Thomas J.] Univ Wisconsin, La Crosse, WI 54601 USA; [Perry, Brian A.] San Francisco State Univ, San Francisco, CA 94132 USA; [Kerrigan, Richard W.] Sylvan Res, Kittanning, PA 16201 USA; [Campbell, Jinx] Univ So Mississippi, Hattiesburg, MS 39406 USA; [Rajesh, Jeewon] Univ Hong Kong, Hong Kong, Peoples R China; [Reynolds, Don R.] Univ Calif Herbarium, Berkeley, CA 94720 USA; [Geiser, David; Kuldau, Gretchen; Stewart, Elwin L.; Kang, Seogchan] Penn State Univ, University Pk, PA 16802 USA; [Humber, Richard A.] USDA ARS Biol IPM Res, Ithaca, NY 14850 USA; [Gathman, Allen] SE Missouri St U, Cape Girardeau, MO 63701 USA; [Henkel, Terry] Humboldt State Univ, Arcata, CA 95521 USA; [Robinson, Clare H.] Univ Manchester, Manchester M13 9PL, Lancs, England; [Pukkila, Patricia J.] Univ N Carolina, Chapel Hill, NC 27514 USA; [Kennedy, Peter] Lewis &amp; Clark Coll, Portland, OR 97219 USA; [Bergemann, Sarah] Middle Tennessee State Univ, Murfreesboro, TN 37129 USA; [Aime, M. Catherine] Louisiana State U Agr Ctr, Baton Rouge, LA 70803 USA; [Kauff, Frank] Univ Kaiserslautern, D-67653 Kaiserslautern, Germany; [Porras-Alfaro, Andrea] Univ New Mexico, Albuquerque, NM 87131 USA; [Gueidan, Cecile; Schell, Wiley; Bonito, Gregory] Duke Univ, Durham, NC 27708 USA; [Beck, Andreas] Bot Staatssammlung Muenchen, D-80638 Munich, Germany; [Andersen, Birgitte; Thrane, Ulf] Tech Univ Denmark, DK-2800 Lyngby, Denmark; [Marek, Stephen; Conway, Kenneth E.; Vishniac, Helen S.] Oklahoma State Univ, Stillwater, OK 74078 USA; [Crouch, Jo A.; Sullivan, Raymond] Rutgers State Univ, New Brunswick, NJ USA; [Kerrigan, Julia; Jeffers, Steven N.] Clemson Univ, Clemson, SC 29634 USA; [Ristaino, Jean Beagle] N Carolina State Univ, Raleigh, NC 27695 USA; [Samuels, Gary J.] USDA Systemat Mycol &amp; Microbiol, Beltsville, MD 10300 USA; [Raja, Huzefa A.; Eastburn, Darin] Univ Illinois, Urbana, IL 61820 USA; [Voglmayr, Hermann] Univ Vienna, A-1030 Vienna, Austria; [Gardes, Monique] Univ Toulouse 3, F-31062 Toulouse, France; [Janos, David P.] Miami Univ, Oxford, OH 45056 USA; [Rogers, Jack D.] Washington State Univ, Pullman, WA 99164 USA; [Cannon, Paul; Kirk, Paul M.] CABI, Egham TW20 9TY, Surrey, England; [Castellano, Michael A.] US Forest Serv, USDA, Corvallis, OR 97331 USA; [Maldonado-Ramirez, Sandra L.] Univ Puerto Rico, Mayaguez, PR 00681 USA; [Farrar, James J.] Calif State Univ Fresno, Fresno, CA 93740 USA; [Osmundson, Todd] Columbia Univ, New York, NY 10458 USA; [Osmundson, Todd] New York Bot Garden, New York, NY 10458 USA; [Currah, Randolph S.; Tewari, J. P.; Sigler, Lynne] Univ Alberta, Edmonton, AB T6G 2R3, Canada; [Vujanovic, Vladimir] Univ Saskatchewan, Saskatoon, SK S7N 5C9, Canada; [Chen, Weidong] Washington State Univ, USDA ARS, Pullman, WA 99164 USA; [Atallah, Zahi K.] Univ Wisconsin Madison, Madison, WI 53706 USA; [Harrison, Ken J.] Canadian Forest Serv, Fredericton, NB E3B 5P7, Canada; [Guarro, Josep] Univ Rovira &amp; Virgili, Reus 43201, Spain; [Bates, Scott T.] Arizona State Univ, Tempe, AZ 85287 USA; [Bonello, Pierluigi (Enrico)] Ohio State Univ, Columbus, OH 43210 USA; [Bridge, Paul] British Antarctic Survey, Cambridge CB3 0ET, England; [Rossi, Walter; Pacioni, Giovanni; Leonardi, Marco] Univ Aquila, I-67040 Laquila, Italy; [Stenlid, Jan] Swedish Univ Agr Sci, S-75007 Uppsala, Sweden; [Frisvad, Jens C.] Tech Univ Denmark, DK-2800 Lyngby, Denmark; [Miller, R. M.] Argonne Natl Lab, Argonne, IL 60439 USA; [Baker, Scott E.] Pacific NW Natl Lab, Richland, WA 99352 USA; [Hallen, Heather E.] Michigan State Univ, E Lansing, MI 48824 USA; [Janso, Jeffrey E.] Wyeth Res, Pearl River, NY 10965 USA; [Egerton-Warburton, Louise] Chicago Bot Garden, Chicago, IL 60022 USA; [Wang, Zheng] Yale Univ, New Haven, CT 06520 USA; [Ho, Wellcome W. Hong] MAF Biosecur New Zealand, Wellington, New Zealand; [Kroken, Scott; Gibson, Cara; Arnold, A. E.] Univ Arizona, Tucson, AZ 85721 USA; [Stadler, Marc] Univ Bayreuth, D-44227 Dortmund, Germany; [Stadler, Marc] InterMed Discovery GmbH, D-44227 Dortmund, Germany; [Lichtwardt, Robert W.] Univ Kansas, Lawrence, KS 66045 USA; [Wedin, Mats] Swedish Museum Nat Hist, S-10405 Stockholm, Sweden; [Li, De-Wei] Connecticut Agr Expt Stn, New Haven, CT 06511 USA; [Uchida, Janice Y.] Univ Hawaii, Honolulu, HI 96822 USA; [Jumpponen, Ari] Kansas State Univ, Manhattan, KS 66506 USA; [Deckert, Ron J.] Weber State Univ, Ogden, UT 84408 USA; [Beker, Henry J.] Royal Holloway Univ London, London TW20 0EX, England; [Rogers, Scott O.] Bowling Green State Univ, Bowling Green, OH 43403 USA; [Xu, Jianping] McMaster Univ, Hamilton, ON L8S 4L8, Canada; [Johnston, Peter; Paulus, Barbara] Landcare Res, Auckland 1072, New Zealand; [Shoemaker, R. A.] Agr Canada, Ottawa, ON K1A 0C6, Canada; [Liu, Miao] Eastern Cereal &amp; Oilseed Res Ctr, Ottawa, ON K1A 0C6, Canada; [Marques, G.] Univ Tras Os Montes &amp; Alto Douro, P-5001801 Vila Real, Portugal; [Summerell, Brett] Natl Herbarium New S Wales, Sydney, NSW 2000, Australia; [Sokolski, Serge] Univ Laval, Quebec City, PQ G1K 7P4, Canada; [Widden, Paul] Concordia Univ, Montreal, PQ H3G 1M8, Canada; [Bruhn, Johann N.] Univ Missouri, Columbia, MO 65211 USA; [Bianchinotti, Virginia] Univ Nacl Sur, RA-8000 Bahia Blanca, Buenos Aires, Argentina; [Tuthill, Dorothy] Univ Wyoming, Laramie, WY 82071 USA; [Baroni, Timothy J.] SUNY Coll Cortland, Cortland, NY 13045 USA; [Barron, George] Univ Guelph, Guelph, ON N1G 2W1, Canada; [Jewell, Kelsea] Seattle Childrens Hosp Res Inst, Seattle, WA 98101 USA; [Piepenbring, Meike] J W Goethe Univ, D-60325 Frankfurt, Germany; [Griffith, Gareth W.] Aberystwyth Univ, Aberystwyth SY23 3DA, Dyfed, Wales; [Bradley, S. G.] Penn State Coll Med, Hershey, PA 17033 USA; [Aoki, Takayuki] Natl Inst Agrobiol Sci, Tsukuba, Ibaraki 3058602, Japan; [Yoder, Wendy T.] Novozymes Inc, Davis, CA 95618 USA; [Ju, Yu-Ming] Acad Sinica, Taipei 115, Taiwan; [Berch, Shannon M.] Minist Forests &amp; Range, Victoria, BC V8W 9C4, Canada; [Duan, Weijun; Juncai, M. A.] Chinese Acad Sci, Beijing 100864, Peoples R China; [Taber, Ruth A.] Texas A&amp;M Univ, College Stn, TX 77843 USA; [Coelho, Gilberto] Univ Fed Santa Maria, BR-97105 Santa Maria, RS, Brazil; [Bills, Gerald] Merck Sharp &amp; Dohme Espana SA, Madrid 28027, Spain; [Ganley, Austen] Massey Univ, Albany, New Zealand; [Agerer, Reinhard] Univ Munich, D-80638 Munich, Germany; [Nagy, Laszlo] Univ Szeged, H-6726 Szeged, Hungary; [Roy, Barbara A.] Univ Oregon, Eugene, OR 97403 USA; [Laessoe, Thomas] Univ Copenhagen, DK-1353 Copenhagen, Denmark; [Tichy, Hans-Volker] LUFA ITL GmbH, D-24107 Kiel, Germany; [Stalpers, Joost] CBS Fungal Biodivers Ctr, NL-3584 Utrecht, Netherlands; [Langer, Ewald] Univ Kassel, D-34109 Kassel, Germany; [Scholler, Markus] Naturkundemuseum, D-76133 Karlsruhe, Germany; [Krueger, Dirk] Umweltforschungszentrum, D-4318 Halle, Germany; [Poeder, Reinhold] Leopold Franzens Univ Innsbruck, A-6020 Innsbruck, Austria; [Pennanen, Taina] Finnish Forest Res Inst, Helsinki 170, Finland; [Capelari, Marina] Inst Bot, BR-4301 Sao Paulo, Brazil; [Nakasone, Karen] US Forest Serv, No Res Stn, USDA, St Paul, MN 55108 USA; [Miller, Andrew N.] Illinois Nat Hist Survey, Champaign, IL 61820 USA; [Decock, Cony] MUCL, B-1348 Louvain, Belgium; [Wach, Mark] Sylvan Res, Kittanning, PA 16201 USA; [Yohalem, David S.] E Malling Res, E Malling ME19 6BJ, England; [Glenn, Anthony E.] USDA Toxicol &amp; Mycotoxin Res, College Stn, TX 77843 USA; [Spiering, Martin] Univ Dublin, Trinity Coll, Dublin, Ireland; [Lindner, Daniel L.] US Forest Serv, USDA, Madison, NJ 53726 USA; [Redhead, Scott A.] Natl Mycol Herbarium, Ottawa, ON K1A 0C6, Canada; [Ivors, Kelly] N Carolina State Univ, Fletcher, NC 28732 USA; [Geml, Jozsef; Taylor, D. L.] Univ Alaska, Fairbanks, AK 99709 USA; [Okafor, Florence] Alabama A&amp;M Univ, Normal, AL 35762 USA; [Spiegel, Frederick W.] Univ Arkansas, Fayetteville, AR 72701 USA; [Pashley, Catherine] Univ Leicester, Leicester, Leics LE1 7RH, England; [Carpenter, Steven E.] Abbey Lane Lab, Philomath, OR 97370 USA; [Abad, Gloria] USDA APHIS PPQ PHP PSPI NIS, Beltsville, MD 10300 USA; [Voigt, Kerstin] Univ Jena, Fungal Ref Ctr, D-7745 Jena, Germany; [Methven, Andrew S.] Eastern Illinois Univ, Charleston, IL 61920 USA; [Vance, Paula] Microbiol Specialists Inc, Houston, TX 77054 USA; [Mahoney, Dan] Private Mycol Res, Lower Hutt, New Zealand; [Rheeder, John P.] MRC, ZA-7505 Tygerberg, South Africa; [Mehl, James] Univ Pretoria, FABI, ZA-0002 Pretoria, South Africa; [Ngala, George Ndzi] Bamenda Univ, Bamenda, Cameroon; [Ammirati, Joe; Trudell, Steven A.] Univ Washington, Seattle, WA 98195 USA; [Kawasaki, Masako] Kanazawa Med Univ, Kanazawa, Ishikawa 9200293, Japan; [Gwo-Fang, Yuan] FIRDI, Bioresource Collect &amp; Res Ctr, Hsinchu 300, Taiwan; [Matsumoto, Tadahiko] Juntendo Univ, Tokyo 1130033, Japan; [Matsumoto, Tadahiko] Kurume Univ, Tokyo 1130033, Japan; [Smith, David] World Federat Culture Collect, Egham TW20 9TY, Surrey, England; [Koenig, Gina] Roche Mol Syst, Alameda, CA 94501 USA; [May, Tom] Royal Bot Gardens, Melbourne, Vic 3004, Australia; [Hawksworth, David L.] Nat Hist Museum, Madrid 28006, Spain; [Dianese, Jose Carmine] Univ Brasilia, BR-70910 Brasilia, DF, Brazil; [Callac, Philippe] INRA, F-33140 Bordeaux, France; [Lima, Nelson] Micoteca Univ Minho, P-4710 Braga, Portugal; [White, Merlin] Boise State Univ, Boise, ID 83725 USA; [Barreau, C.] INRA, CNRS, F-33140 Bordeaux, France; [Buyck, Bart] Natl Museum Nat Hist, F-75005 Paris, France; [Liles, Mark R.] Auburn Univ, Auburn, AL 36849 USA; [Estes, Dwayne] Austin Peay State Univ, Clarksville, TN 37044 USA; [Carter, Richard] Valdosta State Univ, Valdosta, GA 31698 USA; [Herr, J. M., Jr.] Univ S Carolina, Columbia, SC 29208 USA; [Chandler, Gregory] Univ N Carolina, Wilmington, NC 28403 USA; [Cruse-Sanders, Jennifer] Salem Coll Herbarium, Winston Salem, NC 27101 USA; [Galan Marquez, R.] Alcala Univ, Madrid 28801, Spain; [Horak, Egon] Zurich Herbarium, CH-8008 Zurich, Switzerland; [Yao, Su] China Ctr Ind Culture Collect, Beijing 100027, Peoples R China; [Hughes, Karen] Univ Tennessee, Knoxville, TN 37996 USA</t>
  </si>
  <si>
    <t>Imperial College London; Royal Botanic Gardens, Kew; University of California System; University of California Berkeley; Louisiana State University System; Louisiana State University; University of Michigan System; University of Michigan; Swedish University of Agricultural Sciences; State University of New York (SUNY) System; State University of New York (SUNY) College of Environmental Science &amp; Forestry; Cornell University; University of Tartu; University of Minnesota System; University of Minnesota Twin Cities; Wageningen University &amp; Research; Indiana University System; Indiana University Bloomington; University of California System; University of California Santa Cruz; United States Department of Energy (DOE); Lawrence Berkeley National Laboratory; Harvard University; University of California System; University of California Riverside; Western University (University of Western Ontario); University of British Columbia; Field Museum of Natural History (Chicago); University of Chicago; Western Sydney University; Landcare Research - New Zealand; Indiana University System; Indiana University Northwest; University of Helsinki; University of Copenhagen; United States Department of Agriculture (USDA); United States Forest Service; Royal Botanic Gardens, Kew; Imperial College London; University of Texas System; University of Texas Austin; University of Gothenburg; University of Aberdeen; Royal Ontario Museum; University of Toronto; Natural Resources Canada; Canadian Forest Service; Oregon State University; Amherst College; Clark University; Kean University; University of Toronto; University of South Alabama; University of Nottingham; Mississippi State University; University of Wisconsin System; California State University System; San Francisco State University; University of Southern Mississippi; University of Hong Kong; University of California System; University of California Berkeley; Pennsylvania Commonwealth System of Higher Education (PCSHE); Pennsylvania State University; Pennsylvania State University - University Park; United States Department of Agriculture (USDA); California State University System; California State Polytechnic University, Humboldt; University of Manchester; University of North Carolina; University of North Carolina Chapel Hill; Middle Tennessee State University; Louisiana State University System; University of Kaiserslautern; University of New Mexico; Duke University; Technical University of Denmark; Oklahoma State University System; Oklahoma State University - Stillwater; Rutgers University System; Rutgers University New Brunswick; Clemson University; North Carolina State University; United States Department of Agriculture (USDA); University of Illinois System; University of Illinois Urbana-Champaign; University of Vienna; Universite de Toulouse; Universite Toulouse III - Paul Sabatier; University System of Ohio; Miami University; Washington State University; United States Department of Agriculture (USDA); United States Forest Service; University of Puerto Rico; University of Puerto Rico Mayaguez; California State University System; California State University Fresno; Columbia University; New York Botanical Garden; University of Alberta; University of Saskatchewan; United States Department of Agriculture (USDA); Washington State University; University of Wisconsin System; University of Wisconsin Madison; Natural Resources Canada; Canadian Forest Service; Universitat Rovira i Virgili; Arizona State University; Arizona State University-Tempe; University System of Ohio; Ohio State University; UK Research &amp; Innovation (UKRI); Natural Environment Research Council (NERC); NERC British Antarctic Survey; University of L'Aquila; Swedish University of Agricultural Sciences; Technical University of Denmark; United States Department of Energy (DOE); Argonne National Laboratory; United States Department of Energy (DOE); Pacific Northwest National Laboratory; Michigan State University; Pfizer; Yale University; University of Arizona; University of Bayreuth; University of Kansas; Swedish Museum of Natural History; Connecticut Agricultural Experiment Station; University of Hawaii System; Kansas State University; Utah System of Higher Education; Weber State University; University of London; Royal Holloway University London; University System of Ohio; Bowling Green State University; McMaster University; Landcare Research - New Zealand; Agriculture &amp; Agri Food Canada; University of Tras-os-Montes &amp; Alto Douro; Laval University; Concordia University - Canada; University of Missouri System; University of Missouri Columbia; National University of the South; University of Wyoming; State University of New York (SUNY) System; SUNY Cortland; University of Guelph; Seattle Children's Hospital; Goethe University Frankfurt; Aberystwyth University; Pennsylvania Commonwealth System of Higher Education (PCSHE); Pennsylvania State University; Penn State Health; National Institute of Agrobiological Sciences - Japan; Novozymes; Academia Sinica - Taiwan; Chinese Academy of Sciences; Texas A&amp;M University System; Texas A&amp;M University College Station; Universidade Federal de Santa Maria (UFSM); Merck &amp; Company; Massey University; University of Munich; Szeged University; University of Oregon; University of Copenhagen; Universitat Kassel; Helmholtz Association; Helmholtz Center for Environmental Research (UFZ); University of Innsbruck; Natural Resources Institute Finland (Luke); Instituto de Botanica - Sao Paulo; United States Department of Agriculture (USDA); United States Forest Service; Illinois Natural History Survey; Universite Catholique Louvain; United States Department of Agriculture (USDA); Trinity College Dublin; United States Department of Agriculture (USDA); United States Forest Service; North Carolina State University; University of Alaska System; University of Alaska Fairbanks; Alabama A&amp;M University; University of Arkansas System; University of Arkansas Fayetteville; University of Leicester; United States Department of Agriculture (USDA); Friedrich Schiller University of Jena; Eastern Illinois University; University of Pretoria; University of Washington; University of Washington Seattle; Kanazawa Medical University; Juntendo University; Kurume University; Roche Holding; Universidade de Brasilia; INRAE; Idaho; Boise State University; INRAE; Centre National de la Recherche Scientifique (CNRS); Museum National d'Histoire Naturelle (MNHN); Auburn University System; Auburn University; Austin Peay State University; University System of Georgia; Valdosta State University; University of South Carolina System; University of South Carolina Columbia; University of North Carolina; University of North Carolina Wilmington; Universidad de Alcala; University of Tennessee System; University of Tennessee Knoxville</t>
  </si>
  <si>
    <t>Bidartondo, MI (corresponding author), Univ London Imperial Coll Sci Technol &amp; Med, Richmond TW9 3DS, England.</t>
  </si>
  <si>
    <t>Johnston, Peter/GZL-2513-2022; Raja, Huzefa/J-4794-2015; Warburton, Louise Egerton/AAJ-9818-2020; Zhang, Ning/K-3046-2012; Jeffers, Steven/AAR-2639-2020; Ganley, Austen/L-8120-2013; Marek, Stephen/Q-6911-2019; Chen, Wei/GZK-7348-2022; Pacioni, Giovanni/O-7646-2015; Ristaino, Jean Beagle/N-3616-2018; Thorn, R Greg/I-3398-2012; Nilsson, R. Henrik/A-6062-2009; Schoch, Conrad L./J-4825-2012; Geml, Jozsef/AAW-9993-2020; Jeewon, Rajesh/I-9508-2019; Capelari, Marina/D-4886-2015; Kõljalg, Urmas/H-6925-2015; Porras-Alfaro, Andrea/B-6258-2013; Blair, Jaime Elizabeth/GRE-9690-2022; Jeewon, Rajesh/ITV-1229-2023; Kõljalg, Urmas/AAM-7828-2020; Dianese, José Carmine/F-1575-2016; Porter, Teresita M/H-4072-2011; Summerell, Brett A/B-4934-2010; Bonello, Pierluigi/E-2776-2011; Stadler, Marc/P-8882-2014; Ryberg, Martin/AHA-1804-2022; Liu, Miao/KFQ-7761-2024; Stadler, Marc/AHB-7016-2022; Okafor, Florence A./AAD-1419-2020; Marques, Guilhermina/A-5634-2013; Crouch, Jo Anne/F-4322-2012; Binder, Manfred/C-8571-2013; Johnston, Peter/AAP-6300-2021; Dickie, Ian A/C-5419-2013; Andersen, Birgitte/JBR-9199-2023; Pringle, Anne/ISV-5313-2023; Marek, Stephen/M-9865-2013; Baker, Scott Edward/X-2065-2018; Li, D./M-6468-2019; Bidartondo, Martin/AAC-9454-2021; Taylor, Lee/V-1921-2019; Gueidan, Cecile/C-8803-2014; Smith, Matthew Edward/A-8115-2012; Lima, Nelson/D-3651-2009; Dickie, Ian/AAH-2973-2019; Wang, Zheng/A-2318-2011; Crous, Pedro/H-1489-2012; Langer, Ewald JG/D-8479-2012; Ju, Yu-Ming/F-7379-2010; Griffith, Gareth W./A-1970-2009; Lumbsch, Thorsten/K-3573-2012; Liles, Mark/JZC-8334-2024; Voglmayr, Hermann/B-1484-2013; Kistler, Harold/AAC-1645-2019; Leonardi, Marco/AAA-5112-2020; Stajich, Jason Eric/C-7297-2008; Geml, Jozsef/C-2223-2018; Deckert, Ron J/D-7079-2019; Voigt, Kerstin/AAA-9021-2019; Dentinger, Bryn/D-2468-2019; Stenlid, Jan/K-5909-2019; Crous, Pedro/ISB-2589-2023; Pashley, Catherine/M-9002-2015; Wilson, Andrew/AFD-8298-2022; Andersen, Birgitte/F-3922-2012; Smith, Matthew E./ABC-3015-2020; Aime, Mary C/S-7621-2018; May, Tom/C-2460-2014; Baker, Scott E./ABB-1635-2020; Wilson, Andrew/AAE-9363-2022; Currah, Randolph S/A-2627-2014; Thrane, Ulf/G-2978-2016; Janos, David/B-2264-2008; Frisvad, Jens/K-2818-2017; Purvis, Andy/A-7529-2008; Andersen, Gary/G-2792-2015; Kjoller, Rasmus/L-7061-2014; Kruger, Dirk/C-3316-2012</t>
  </si>
  <si>
    <t>Raja, Huzefa/0000-0002-0824-9463; Zhang, Ning/0000-0002-2680-1354; Marek, Stephen/0000-0002-0146-8049; Thorn, R Greg/0000-0002-7199-6226; Nilsson, R. Henrik/0000-0002-8052-0107; Jeewon, Rajesh/0000-0002-8563-957X; Blair, Jaime Elizabeth/0000-0002-4211-2938; Kõljalg, Urmas/0000-0002-5171-1668; Bonello, Pierluigi/0000-0002-7207-7651; Stadler, Marc/0000-0002-7284-8671; Ryberg, Martin/0000-0002-6795-4349; Stadler, Marc/0000-0002-7284-8671; Marques, Guilhermina/0000-0003-0963-5785; Johnston, Peter/0000-0003-0761-9116; Dickie, Ian A/0000-0002-2740-2128; Marek, Stephen/0000-0002-0146-8049; Baker, Scott Edward/0000-0001-5085-3106; Gueidan, Cecile/0000-0001-9295-9996; Smith, Matthew Edward/0000-0002-0878-0932; Dickie, Ian/0000-0002-2740-2128; Wang, Zheng/0000-0002-8849-8549; Griffith, Gareth W./0000-0001-6914-3745; Liles, Mark/0000-0002-9313-8150; Voglmayr, Hermann/0000-0001-7666-993X; Kistler, Harold/0000-0001-5312-6297; Leonardi, Marco/0000-0003-3502-4232; Stajich, Jason Eric/0000-0002-7591-0020; Geml, Jozsef/0000-0001-8745-0423; Deckert, Ron J/0000-0003-2100-6412; Dentinger, Bryn/0000-0001-7965-4389; Pashley, Catherine/0000-0003-4023-3610; Andersen, Birgitte/0000-0002-4544-9886; Smith, Matthew E./0000-0002-0878-0932; Thrane, Ulf/0000-0002-6040-4141; Hawkes, Christine/0000-0002-1043-9469; Bianchinotti, Maria Virginia/0000-0002-8981-5841; Redhead, Scott/0000-0001-9715-3705; Guarro, Josep/0000-0002-7839-7568; Bates, Scott/0000-0002-6184-4296; Sullivan, Raymond/0000-0003-3371-7705; Taylor, Donald/0000-0002-5985-9210; Turgeon, Barbara/0000-0001-7979-7662; /0009-0006-1337-808X; Matsumoto, Tadahiko/0000-0002-2362-4612; Timonen, Sari/0000-0001-9039-5648; Janos, David/0000-0002-3877-0110; Hynson, Nicole/0000-0001-7098-9641; Bateman, Richard/0000-0002-1158-4983; Rheeder, John Paul/0000-0002-6873-1593; Barraclough, Timothy/0000-0002-8084-2640; Lima, Nelson/0000-0003-2185-0613; Frisvad, Jens/0000-0002-0573-4340; Horton, Tom/0000-0002-2112-9618; Purvis, Andy/0000-0002-8609-6204; Andersen, Gary/0000-0002-1618-9827; Bills, Gerald/0000-0003-2352-8417; Kjoller, Rasmus/0000-0002-2027-4119; Kruger, Dirk/0000-0002-7305-5104</t>
  </si>
  <si>
    <t>276VR</t>
  </si>
  <si>
    <t>WOS:000254172300015</t>
  </si>
  <si>
    <t>Ren, S; Polavarapu, SM; Shepherd, TG</t>
  </si>
  <si>
    <t>Ren, Shuzhan; Polavarapu, Saroja M.; Shepherd, Theodore G.</t>
  </si>
  <si>
    <t>Vertical propagation of information in a middle atmosphere data assimilation system by gravity-wave drag feedbacks</t>
  </si>
  <si>
    <t>GENERAL-CIRCULATION; PARAMETERIZATION; MODELS</t>
  </si>
  <si>
    <t>The mesospheric response to the 2002 Antarctic Stratospheric Sudden Warming (SSW) is analysed using the Canadian Middle Atmosphere Model Data Assimilation System (CMAM-DAS), where it represents a vertical propagation of information from the observations into the data-free mesosphere. The CMAM-DAS simulates a cooling in the lowest part of the mesosphere which is accomplished by resolved motions, but which is extended to the mid- to upper mesosphere by the response of the model's non-orographic gravity-wave drag parameterization to the change in zonal winds. The basic mechanism is that elucidated by Holton consisting of a net eastward wave-drag anomaly in the mesosphere during the SSW, although in this case there is a net upwelling in the polar mesosphere. Since the zonal-mean mesospheric response is shown to be predictable, this demonstrates that variations in the mesospheric state can be slaved to the lower atmosphere through gravity-wave drag.</t>
  </si>
  <si>
    <t>[Ren, Shuzhan; Shepherd, Theodore G.] Univ Toronto, Dept Phys, Toronto, ON M5S 1A7, Canada; [Polavarapu, Saroja M.] Environm Canada, Meteorol Res Div, Toronto, ON M3H 5T4, Canada</t>
  </si>
  <si>
    <t>University of Toronto; Environment &amp; Climate Change Canada</t>
  </si>
  <si>
    <t>Ren, S (corresponding author), Univ Toronto, Dept Phys, 60 St George St, Toronto, ON M5S 1A7, Canada.</t>
  </si>
  <si>
    <t>shuzhan.ren@ec.gc.ca</t>
  </si>
  <si>
    <t>MAR 20</t>
  </si>
  <si>
    <t>L06804</t>
  </si>
  <si>
    <t>10.1029/2007GL032699</t>
  </si>
  <si>
    <t>281TD</t>
  </si>
  <si>
    <t>WOS:000254520900004</t>
  </si>
  <si>
    <t>Sokolov, S</t>
  </si>
  <si>
    <t>Sokolov, Serguei</t>
  </si>
  <si>
    <t>Chlorophyll blooms in the Antarctic Zone south of Australia and New Zealand in reference to the Antarctic Circumpolar Current fronts and sea ice forcing</t>
  </si>
  <si>
    <t>OCEAN</t>
  </si>
  <si>
    <t>Using new high-resolution maps of the frontal structure of the Antarctic Circumpolar Current (ACC) derived from satellite altimetry, the relationship between circulation, sea ice concentrations, availability of light, and surface chlorophyll in the Southern Ocean south of Australia and New Zealand is investigated. South of the Polar Front, in the Antarctic Zone (AZ), there is a distinct spring bloom, which occurs earlier, persists for longer, and reaches higher maximum values farther south near Antarctica. The seasonal changes in chlorophyll pattern in this zone are predominantly driven by the sea ice meltwater flux which improves the irradiance-mixing regime via formation of a very shallow mixed layer and provides an additional source of iron which triggers the chlorophyll blooms. There is a clear and consistent increase of about fivefold in both mean and maximum chlorophyll concentrations in regions of largest decrease in monthly mean sea ice concentrations. The seasonal signal in chlorophyll concentrations related to the ice melting is particularly strong between the southern ACC front and the southern boundary of the ACC. The changes in wind-driven mixed layer depth in the AZ in summer do not explain adequately the elevated surface chlorophyll concentrations observed between these two ACC fronts. Reduction in the cloud cover and consequent increase in photosynthetically active radiation near the Antarctic coast in the summer could also support higher phytoplankton concentrations within the seasonal sea ice zone and costal polynyas.</t>
  </si>
  <si>
    <t>CSIRO, Marine Res &amp; Antarctic Climate &amp; Ecosyst Cooperat, CSIRO Wealth Oceans Natl Res Flagship, Hobart, Tas 7001, Australia</t>
  </si>
  <si>
    <t>Commonwealth Scientific &amp; Industrial Research Organisation (CSIRO)</t>
  </si>
  <si>
    <t>Sokolov, S (corresponding author), CSIRO, Marine Res &amp; Antarctic Climate &amp; Ecosyst Cooperat, CSIRO Wealth Oceans Natl Res Flagship, Hobart, Tas 7001, Australia.</t>
  </si>
  <si>
    <t>serguei.sokolov@csiro.au</t>
  </si>
  <si>
    <t>Sokolov, Serguei/A-4882-2008</t>
  </si>
  <si>
    <t>C3</t>
  </si>
  <si>
    <t>C03022</t>
  </si>
  <si>
    <t>10.1029/2007JC004329</t>
  </si>
  <si>
    <t>281UR</t>
  </si>
  <si>
    <t>WOS:000254524900002</t>
  </si>
  <si>
    <t>Kemp, M</t>
  </si>
  <si>
    <t>Kemp, Martin</t>
  </si>
  <si>
    <t>Echoes of time in images of the Antarctic</t>
  </si>
  <si>
    <t>Univ Oxford, Oxford OX1 2JD, England</t>
  </si>
  <si>
    <t>Kemp, M (corresponding author), Univ Oxford, Oxford OX1 2JD, England.</t>
  </si>
  <si>
    <t>10.1038/452290a</t>
  </si>
  <si>
    <t>276BX</t>
  </si>
  <si>
    <t>WOS:000254117400027</t>
  </si>
  <si>
    <t>Goes, M; Wainer, I; Gent, PR; Bryan, FO</t>
  </si>
  <si>
    <t>Goes, Marlos; Wainer, Ilana; Gent, Peter R.; Bryan, Frank O.</t>
  </si>
  <si>
    <t>Changes in subduction in the South Atlantic Ocean during the 21st century in the CCSM3</t>
  </si>
  <si>
    <t>CLIMATE-CHANGE; INTERMEDIATE WATER; ANTARCTIC MODE; CIRCULATION</t>
  </si>
  <si>
    <t>The Community Climate System Model version 3 is used to analyse changes in water mass subduction rates in the South Atlantic Ocean over the 21st century. The model results are first compared to observations over 1950-2000, and shown to be rather good. The subduction rates do not change significantly over the 21st century, but the densities at which water masses form become significantly lighter. The strong westerly winds in this region do not change much, which suggests small changes to the rate at which the Atlantic sector of the Southern Ocean takes up heat and carbon dioxide over the 21st century.</t>
  </si>
  <si>
    <t>[Goes, Marlos; Wainer, Ilana] Univ Sao Paulo, Dept Phys Oceanog, BR-05508900 Sao Paulo, Brazil; [Gent, Peter R.; Bryan, Frank O.] Natl Ctr Atmospher Res, Boulder, CO 80307 USA</t>
  </si>
  <si>
    <t>Universidade de Sao Paulo; National Center Atmospheric Research (NCAR) - USA</t>
  </si>
  <si>
    <t>Goes, M (corresponding author), Univ Sao Paulo, Dept Phys Oceanog, BR-05508900 Sao Paulo, Brazil.</t>
  </si>
  <si>
    <t>gent@cgd.ucar.edu</t>
  </si>
  <si>
    <t>Gent, Peter/HGB-9457-2022; Goes, Marlos/B-4273-2011; Bryan, Frank/I-1309-2016; WAINER, ILANA/B-4540-2011</t>
  </si>
  <si>
    <t>Goes, Marlos/0000-0001-5874-8079; Bryan, Frank/0000-0003-1672-8330; WAINER, ILANA/0000-0003-3784-623X</t>
  </si>
  <si>
    <t>MAR 18</t>
  </si>
  <si>
    <t>L06701</t>
  </si>
  <si>
    <t>10.1029/2007GL032762</t>
  </si>
  <si>
    <t>281TB</t>
  </si>
  <si>
    <t>WOS:000254520700002</t>
  </si>
  <si>
    <t>Walkden, GJ; Heywood, KJ; Stevens, DP</t>
  </si>
  <si>
    <t>Walkden, Graham J.; Heywood, Karen J.; Stevens, David P.</t>
  </si>
  <si>
    <t>Eddy heat fluxes from direct current measurements of the Antarctic Polar Front in Shag Rocks Passage</t>
  </si>
  <si>
    <t>CIRCUMPOLAR CURRENT; SOUTHERN-OCEAN; DRAKE PASSAGE; VARIABILITY; TRANSPORTS; VELOCITY; ENERGY; FLOW</t>
  </si>
  <si>
    <t>Determining meridional heat flux in the Southern Ocean is critical to the accurate understanding and model simulation of the global ocean. Mesoscale eddies provide a significant but poorly-defined contribution to this transport. An eighteen-month deep-water current meter array deployment in Shag Rocks Passage (53 degrees S, 48 degrees W) between May 2003 and November 2004 provides estimates of the eddy flux of heat across the Polar Front. We calculate a statistically nonzero (99% level), vertically coherent local poleward heat flux of 12.0 +/- 5.8 kW m(-2) within the eddy frequency band at similar to 2750 m depth. Exceeding previous deep-water estimates by up to an order of magnitude, this highlights the large spatial variation in flux estimates and illustrates that constriction of circumpolar fronts facilitates large eddy transfers of heat southwards.</t>
  </si>
  <si>
    <t>[Walkden, Graham J.; Heywood, Karen J.] Univ E Anglia, Sch Environm Sci, Norwich NR4 7TJ, Norfolk, England; [Stevens, David P.] Univ E Anglia, Sch Math, Norwich NR4 7TJ, Norfolk, England</t>
  </si>
  <si>
    <t>University of East Anglia; University of East Anglia</t>
  </si>
  <si>
    <t>Walkden, GJ (corresponding author), Univ E Anglia, Sch Environm Sci, Norwich NR4 7TJ, Norfolk, England.</t>
  </si>
  <si>
    <t>g.walkden@uea.ac.uk</t>
  </si>
  <si>
    <t>Heywood, Karen/L-1757-2016; Stevens, David/F-2509-2010</t>
  </si>
  <si>
    <t>Heywood, Karen/0000-0001-9859-0026; Stevens, David/0000-0002-7283-4405</t>
  </si>
  <si>
    <t>L06602</t>
  </si>
  <si>
    <t>10.1029/2007GL032767</t>
  </si>
  <si>
    <t>Green Accepted, Green Submitted, Bronze</t>
  </si>
  <si>
    <t>WOS:000254520700003</t>
  </si>
  <si>
    <t>Laine, V</t>
  </si>
  <si>
    <t>Laine, Vesa</t>
  </si>
  <si>
    <t>Antarctic ice sheet and sea ice regional albedo and temperature change, 1981-2000, from AVHRR Polar Pathfinder data</t>
  </si>
  <si>
    <t>Antarctica; ice sheet albedo; sea ice albedo; ice sheet temperature; sea ice temperature</t>
  </si>
  <si>
    <t>HIGH-RESOLUTION RADIOMETER; SOUTHERN-OSCILLATION; SURFACE ALBEDO; IN-SITU; VARIABILITY; TRENDS; RADIATION; EXTENTS; CLOUD; SNOW</t>
  </si>
  <si>
    <t>Spring-summer (November, December, January) ice sheet and sea ice regional surface albedo, surface temperature, sea ice concentration and sea ice extent averages and trends from 1981 to 2000 have been calculated for the Antarctic area. In this research the AVHRR Polar Pathfinder 5-km EASE-Grid Composites and the combined SMMR and SSMI data sets from the National Snow and Ice Data Center (NSIDC), Boulder, Colorado have been employed. A regional analysis has been made for five longitudinal sectors around Antarctica: the Weddell Sea (WS), the Indian Ocean (IO), the Pacific Ocean (PO), the Ross Sea (RS) and the Bellingshausen-Amundsen Sea (BS). The IO and PO sectors show ice sheet albedos of 0.85 and temperatures of -25 degrees C. The corresponding values in the RS and BS sectors are 0.80 and -16 degrees C respectively. The sea ice albedo is about 0.60 in the RS, BS and WS sectors and 0.55 in the IO and PO sectors. The average sea ice temperature varies around -12 degrees C. All the sectors show slight increasing spring-summer albedo trends and decreasing spring-summer temperature trends and similar interannual variability in albedo and surface temperature. The steepest ice sheet albedo trend of 0.0019 +/- 0.0009/yr is found in the RS sector. The steepest sea ice albedo trend of 0.0044 +/- 0.0017 /yr occurs in the PO sector. The steepest temperature trends for both the ice sheet and sea ice occur in the BS sector, having values of -0.075 +/- 0.040 degrees C/yr and -0.107 +/- 0.027 degrees C/yr respectively. The sea ice concentration shows slight increasing trends, the highest being in the PO sector (0.3 +/- 0.12%/yr), whereas the sea ice extent trends are near zero with the exception of the RS sector (14,700 +/- 8600 km(2) /yr) and the BS sector (- 13,000 +/- 6400 km(2)/yr). (C) 2007 Elsevier Inc. All rights reserved.</t>
  </si>
  <si>
    <t>Finnish Meteorol Inst, FIN-00101 Helsinki, Finland</t>
  </si>
  <si>
    <t>Finnish Meteorological Institute</t>
  </si>
  <si>
    <t>Laine, V (corresponding author), Finnish Meteorol Inst, POB 503, FIN-00101 Helsinki, Finland.</t>
  </si>
  <si>
    <t>vesa.laine@fmi.fi</t>
  </si>
  <si>
    <t>10.1016/j.rse.2007.06.005</t>
  </si>
  <si>
    <t>280RK</t>
  </si>
  <si>
    <t>WOS:000254443700004</t>
  </si>
  <si>
    <t>Ugolini, FC; Bockheim, JG</t>
  </si>
  <si>
    <t>Ugolini, F. C.; Bockheim, J. G.</t>
  </si>
  <si>
    <t>Antarctic soils and soil formation in a changing environment: A review</t>
  </si>
  <si>
    <t>GEODERMA</t>
  </si>
  <si>
    <t>antarctic soils; soil formation; weathering; permafrost monitoring; soil history</t>
  </si>
  <si>
    <t>MCMURDO DRY VALLEYS; TAYLOR-VALLEY; CLIMATE-CHANGE; VICTORIA-LAND; MARITIME ANTARCTICA; METAL CONTAMINATION; PEDOGENIC ZONATION; SOUND REGION; PERMAFROST; CRYOSOLS</t>
  </si>
  <si>
    <t>The first mention of Antarctic soils dates back to 1916, when Jensen reported on analyses of samples collected in the McMurdo area during the British Antarctic Expedition, 1907-1909. With the advent of the International Geophysical Year in 1958, and the establishment on the continent of permanent bases by many nations, an era dedicated to scientific investigations was inaugurated. New Zealand and American field parties explored the soils of the McMurdo Dry Valleys region and published their findings in the early 1960s. Questions about the legitimacy of calling soils a loose, sandy, grayish material devoid of plants and of an organic layer were often raised but also answered. A number of soil-forming processes were identified and also verified was the role of the soil- forming factors such as of time, lithology, and exposure. In continental Antarctica the biota, except for microorganisms, was only present in small areas occupied by Bryophyta. An organic cover, in the form of guano, was also restricted to penguin rookeries. Chemical weathering and the origin and distribution of salts were topics investigated by pedologists, geologists and geochemists. (c) 2007 Elsevier B.V. All rights reserved.</t>
  </si>
  <si>
    <t>[Bockheim, J. G.] Univ Wisconsin, Dept Soil Sci, Madison, WI 53706 USA; [Ugolini, F. C.] Univ Florence, Dept Soil Sci &amp; Plant Nutr, I-50144 Florence, Italy</t>
  </si>
  <si>
    <t>University of Wisconsin System; University of Wisconsin Madison; University of Florence</t>
  </si>
  <si>
    <t>Bockheim, JG (corresponding author), Univ Wisconsin, Dept Soil Sci, Madison, WI 53706 USA.</t>
  </si>
  <si>
    <t>fiorenzo.ugolini@unifi.it; bockheim@wisc.edu</t>
  </si>
  <si>
    <t>0016-7061</t>
  </si>
  <si>
    <t>1872-6259</t>
  </si>
  <si>
    <t>Geoderma</t>
  </si>
  <si>
    <t>MAR 15</t>
  </si>
  <si>
    <t>10.1016/j.geoderma.2007.10.005</t>
  </si>
  <si>
    <t>281CC</t>
  </si>
  <si>
    <t>WOS:000254473000001</t>
  </si>
  <si>
    <t>Aislabie, JM; Jordan, S; Barker, GM</t>
  </si>
  <si>
    <t>Aislabie, J. M.; Jordan, S.; Barker, G. M.</t>
  </si>
  <si>
    <t>Relation between soil classification and bacterial diversity in soils of the Ross Sea region, Antarctica</t>
  </si>
  <si>
    <t>antarctic; polar desert; mineral soil; ornithogenic soil; bacterial diversity</t>
  </si>
  <si>
    <t>SP-NOV.; VICTORIA LAND; MICROBIAL DIVERSITY; EMENDED DESCRIPTION; ORNITHOGENIC SOILS; ADELIE PENGUIN; WRIGHT VALLEY; COMB. NOV.; MICROORGANISMS; COMMUNITY</t>
  </si>
  <si>
    <t>Soils of the Ross Sea region of Antarctica are among the least diverse ecosystems on earth. Few plants and animals have colonised these soils, but bacteria are distributed throughout. We compared the bacterial communities of soil samples from 5 locations in the Ross Sea region, representing different soil taxonomic groups, using culture-in dependent methods. Four mineral soils and one ornithogenic soil were analysed. Organic C, Total N, and moisture of the mineral soils were low, total P and EC were variable. In contrast, the water content, organic C, and Total N and P, and EC of the ornithogenic soil were 10-100 fold higher than the mineral soils. Soil pH was alkaline. One thousand and fourteen clones were screened by restriction fragment length polymorphisms. While the majority of the ribotypes were rare, some were dominant and occurred &gt;= 3 times in the respective clone libraries. The dominant ribotypes were sequenced and shown to be phylogenetically affiliated with the phyla Acidobacteria, Actinobacteria, Bacteroidetes, Proteobacteria, Demococcus-Thermus, Firmicutes, Cyanobacteria and Candidate TM7. The closest relatives of the clones retrieved from the mineral soils were uncultured environmental clones or bacterial isolates not assigned to recognised genera. In contrast, the clones from the ornithogenic soil were most closely related to the endospore-formers; Oceanobacillus profundus, Clostridium acidiurici and Sporosarcina aquimarina. We found no convincing evidence that the Haplorthels from Scott Base, Marble Point, and Cape Hallett, have bacterial communities structured fundamentally different from those of Anhyorthels from Bull Pass and Vanda. Nonetheless the composition of the communities did vary substantially and were readily discriminated by multivariate statistics on the basis of soil properties. (c) 2007 Elsevier B.V All rights reserved.</t>
  </si>
  <si>
    <t>[Aislabie, J. M.; Barker, G. M.] Landcare Res, Hamilton, New Zealand; [Jordan, S.] Univ Auckland, Sch Biol Sci, Auckland, New Zealand</t>
  </si>
  <si>
    <t>Landcare Research - New Zealand; University of Auckland</t>
  </si>
  <si>
    <t>Aislabie, JM (corresponding author), Landcare Res, Private Bag 3127, Hamilton, New Zealand.</t>
  </si>
  <si>
    <t>aislabiej@landcareresearch.co.nz</t>
  </si>
  <si>
    <t>Barker, Gary M/C-9974-2011</t>
  </si>
  <si>
    <t>10.1016/j.geoderma.2007.10.006</t>
  </si>
  <si>
    <t>WOS:000254473000002</t>
  </si>
  <si>
    <t>Bate, DB; Barrett, JE; Poage, MA; Virginia, RA</t>
  </si>
  <si>
    <t>Bate, D. B.; Barrett, J. E.; Poage, M. A.; Virginia, R. A.</t>
  </si>
  <si>
    <t>Soil phosphorus cycling in an Antarctic polar desert</t>
  </si>
  <si>
    <t>antarctic soils; chronosequence; hyporheic; McMurdo Dry Valleys; phosphorus</t>
  </si>
  <si>
    <t>MCMURDO DRY VALLEYS; SOUTHERN VICTORIA LAND; GROUNDED ICE-SHEET; TAYLOR VALLEY; HYPORHEIC EXCHANGE; BEACON VALLEY; ROSS SEA; ECOSYSTEM; FRACTIONS; LANDSCAPE</t>
  </si>
  <si>
    <t>Soil phosphorus distribution and cycling in the McMurdo Dry Valleys is poorly understood despite its importance for contemporary Antarctic ecosystem processes. We present data from sequential chemical extractions of phosphorus pools from dry valley soils and sediments on tills across a gradient of surface exposure ages, and across potential weathering gradients in stream channels. The geologically old, but poorly weathered, soils of the dry valleys have large phosphorus pools relative to in situ biological requirements. These pools are dominated by unweathered P fractions, comprising between 60 and 90% of total soil phosphorus among sites occurring on tills ranging in surface exposure ages of approximately 10(3)-10(6) yrs. Variation in total phosphorus concentration and availability are related to differences in the initial P content of these tills; Ross Sea tills contain basalts and kenyte which contribute to higher concentrations of phosphorus relative to soils developing on tills deposited by advances of the Taylor Glacier. At local scales, physicochemical gradients contribute to variation in weathering rates, altering the distribution of phosphorus among chemical fractions, which differ in their potential mobility and availability to microorganisms. For example, hyporheic stream sediments exhibit evidence of phosphorus weathering from primary minerals and loss relative to upland soils adjacent to stream channels. Dry valley landscapes (glaciers, lakes streams, soils) are hydrologically connected, providing a mechanism for phosphorus weathering and mobilization in soils and sediments to contribute to the nutrient budgets of adjacent aquatic ecosystems. We suggest that landscape history (till composition) and contemporary subsurface and stream hydrology are the primary controls over phosphorus cycling in the McMurdo Dry Valleys. (c) 2007 Elsevier B.V. All rights reserved.</t>
  </si>
  <si>
    <t>[Bate, D. B.] Dartmouth Coll, Dept Earth Sci, Hanover, NH 03755 USA; [Barrett, J. E.; Virginia, R. A.] Dartmouth Coll, Environm Studies Program, Hanover, NH 03755 USA; [Poage, M. A.] Indiana Univ Penn, Dept Geosci, Indiana, PA 15705 USA</t>
  </si>
  <si>
    <t>Dartmouth College; Dartmouth College; Pennsylvania State System of Higher Education (PASSHE); Indiana University of Pennsylvania</t>
  </si>
  <si>
    <t>Barrett, JE (corresponding author), Virginia Polytech Inst &amp; State Univ, Dept Biol Sci, Blacksburg, VA 24061 USA.</t>
  </si>
  <si>
    <t>jebarre@vt.edu</t>
  </si>
  <si>
    <t>Barrett, John/D-5851-2016</t>
  </si>
  <si>
    <t>Barrett, John/0000-0002-7610-0505</t>
  </si>
  <si>
    <t>Office of Polar Programs (OPP); Directorate For Geosciences [0832755, 1041742] Funding Source: National Science Foundation</t>
  </si>
  <si>
    <t>Office of Polar Programs (OPP); Directorate For Geosciences(National Science Foundation (NSF)NSF - Directorate for Geosciences (GEO))</t>
  </si>
  <si>
    <t>10.1016/j.geoderma.2007.10.007</t>
  </si>
  <si>
    <t>WOS:000254473000003</t>
  </si>
  <si>
    <t>Bockheim, JG</t>
  </si>
  <si>
    <t>Bockheim, J. G.</t>
  </si>
  <si>
    <t>Functional diversity of soils along environmental gradients in the Ross Sea region, Antarctica</t>
  </si>
  <si>
    <t>latitudinal gradient; glacial history; soil climate; pedogenesis</t>
  </si>
  <si>
    <t>ICE-SURFACE FLUCTUATIONS; SOUTHERN VICTORIA LAND; WRIGHT VALLEY; BEARDMORE GLACIER; DEVELOPMENT RATES; DRY VALLEYS; BIODIVERSITY; BIOGEOCHEMISTRY; EASTERN; ORIGIN</t>
  </si>
  <si>
    <t>The University of Wisconsin Antarctic Soils database was used to examine soils at four sites along a latitudinal gradient that included Rennick Glacier (72 degrees S), Taylor Valley (77 degrees S), Hatherton Glacier (80 degrees S), and Beardmore Glacier (85 degrees S). The soils, derived from glacial drifts ranging from Holocene to Pliocene in age, were stratified at each site by microclimate into subxerous (coastal), xerous (valley floors and sidewalls), and ultraxerous (edge of polar plateau). Analysis of variance and principal components analysis were used to determine the relative influence of latitude, longitude (soil climate along the valley profile), and time of exposure on soil properties and diversity. Time of exposure is the most important factor influencing functional diversity of soils, including depths of staining, coherence, visible salts, and ghosts; depth of ice-cemented permafrost; maximum color-development equivalence; salt and weathering stages; thickness of the salt pan; salt concentration in the salt-enriched layer, and the profile salt content to 70 cm. Soil climate is important with regards to the amount of available moisture, which generally decreases from the coast inland. Soil climate is important with regards to most of the properties, primarily salt content and depth to ice-cemented permafrost; however, soil climate is interactive with time of exposure as the youngest glacial deposits are often along the coast and the oldest deposits are in ultraxerous, upland-valley cirques. Soil differences within a specific soil climate zone were minimal along the latitudinal gradient except for salt chemistry. The proportion of nitrate in soil-water extracts increased and the proportion of sulfate decreased with an increase in latitude. The results of this study have important implications regarding terrestrial biodiversity and ecosystem functioning. (c) 2007 Elsevier B.V. All rights reserved.</t>
  </si>
  <si>
    <t>Univ Wisconsin, Dept Soil Sci, Madison, WI 53706 USA</t>
  </si>
  <si>
    <t>University of Wisconsin System; University of Wisconsin Madison</t>
  </si>
  <si>
    <t>10.1016/j.geoderma.2007.10.014</t>
  </si>
  <si>
    <t>WOS:000254473000004</t>
  </si>
  <si>
    <t>Cannone, N; Wagner, D; Hubberten, HW; Guglielmin, M</t>
  </si>
  <si>
    <t>Cannone, N.; Wagner, D.; Hubberten, H. W.; Guglielmin, M.</t>
  </si>
  <si>
    <t>Biotic and abiotic factors influencing soil properties across a latitudinal gradient in Victoria Land, Antarctica</t>
  </si>
  <si>
    <t>soil; vegetation; active layer; parent material; monitoring network; climate change; Antarctica</t>
  </si>
  <si>
    <t>CONTINENTAL ANTARCTICA; ACTIVE LAYER; THERMAL REGIME; KAR PLATEAU; WILKES-LAND; VEGETATION; CLIMATE; NORTHERN; PENINSULA; NUTRIENT</t>
  </si>
  <si>
    <t>Through the cooperative efforts of the Scientific Committee on Antarctic Research (SCAR) Evolution and Biodiversity in Antarctica (EBA) Project and the Latitudinal Gradient Project (LGP), a monitoring network was established in Victoria Land in 2002 to assess the impacts of climate change on vegetation, soils, active-layer dynamics, and permafrost across a latitudinal gradient. In this study, we report on the key factors influencing soil development across the gradient, including vegetation, parent material characteristics, and climate. Physical and chemical soil properties at depths of 2-8 and 10-20 cm were investigated at 7 sites and on 14 permanent plots from Apostrophe Island in Northern Victoria Land (73 degrees 30'S, 167 degrees 50'E) to Granite Harbour in Southern Victoria Land (77 degrees 00'S, 162 degrees 26'E) along the Ross Sea coast. The relationships among vegetation, parent material, and regional climate and soil properties were tested with Principal Component Analyses. There were no significant correlations or relationships in soil properties across the climate gradient. In fact, local microclimatic appears to be more effective than the regional gradient in influencing the properties. Microclimate was also important relative to active-layer depth and vegetation distribution. Lithology was strongly related to several chemical parameters, notably extractable Al, Fe, Ca, K, but was unrelated to grain-size distribution. Vegetation was related to the chemistry of the surface-soil layer, including nitrate, organic carbon, C/N ratio and water content, and also the active-layer depth. Penguins had the greatest influence on soil properties in initiating the development of ornithogenic soils. Further analyses on soil properties, including a greater number of sites, will be required to represent more extensively the lithological variability and to extend the latitudinal extremes of the gradient. The results presented here are an important reference for future monitoring activities in Victoria Land. (c) 2007 Elsevier B.V. All rights reserved.</t>
  </si>
  <si>
    <t>[Cannone, N.] Univ Ferrara, Dept Biol &amp; Evolut, I-44100 Ferrara, Italy; [Wagner, D.; Hubberten, H. W.] Alfred Wegener Inst Polar &amp; Marine Res, Potsdam, Germany; [Guglielmin, M.] Univ Insubria, DBSF, Varese, Italy</t>
  </si>
  <si>
    <t>University of Ferrara; Helmholtz Association; Alfred Wegener Institute, Helmholtz Centre for Polar &amp; Marine Research; University of Insubria</t>
  </si>
  <si>
    <t>Cannone, N (corresponding author), Univ Ferrara, Dept Biol &amp; Evolut, Corso Ercole I Este 32, I-44100 Ferrara, Italy.</t>
  </si>
  <si>
    <t>nicoletta.cannone@unife.it</t>
  </si>
  <si>
    <t>Cannone, Nicoletta/W-8651-2019; Wagner, Dirk/C-3932-2012</t>
  </si>
  <si>
    <t>Cannone, Nicoletta/0000-0002-3390-3965; Wagner, Dirk/0000-0001-5064-497X</t>
  </si>
  <si>
    <t>10.1016/j.geoderma.2007.10.008</t>
  </si>
  <si>
    <t>WOS:000254473000006</t>
  </si>
  <si>
    <t>Claridge, GGC; Campbell, IB</t>
  </si>
  <si>
    <t>Claridge, G. G. C.; Campbell, I. B.</t>
  </si>
  <si>
    <t>Zeolites in Antarctic soils: Examples from Coombs Hills and Marble Point</t>
  </si>
  <si>
    <t>zeolites; phillipsite; mordenite chabazite Antarctic soils</t>
  </si>
  <si>
    <t>MCMURDO-SOUND-REGION; DRY VALLEYS; WRIGHT; PHILLIPSITE; SEDIMENTS; DEPOSITS; LAKES</t>
  </si>
  <si>
    <t>The distribution of zeolites in rocks and soils of the McMurdo Sound region is reviewed and two new occurrences are described, One of these is in the Coombs Hills where mordenite derived from hyaloclastic rocks is found in soils formed from till. The other is of phillipsite, found at Marble Point in a bedded formation which appears to have been formed by ash falling into an ice-dammed lake. It is likely that authigenic zeolites may be more widely distributed in Antarctica soils than is currently recognised. (c) 2007 Elsevier B.V. All rights reserved.</t>
  </si>
  <si>
    <t>[Claridge, G. G. C.; Campbell, I. B.] Land &amp; Soil Consultancy Serv, Nelson, New Zealand</t>
  </si>
  <si>
    <t>Claridge, GGC (corresponding author), Land &amp; Soil Consultancy Serv, 23 Viewmt, Nelson, New Zealand.</t>
  </si>
  <si>
    <t>graeme.claridge@xtra.co.nz</t>
  </si>
  <si>
    <t>10.1016/j.geoderma.2007.10.009</t>
  </si>
  <si>
    <t>WOS:000254473000007</t>
  </si>
  <si>
    <t>Guglielmin, M; Evans, CJE; Cannone, N</t>
  </si>
  <si>
    <t>Guglielmin, Mauro; Evans, Cynan J. Ellis; Cannone, Nicoletta</t>
  </si>
  <si>
    <t>Active layer thermal regime under different vegetation conditions in permafrost areas. A case study at Signy Island (Maritime Antarctica)</t>
  </si>
  <si>
    <t>ground temperature; active layer; permafrost; vegetation; Antarctica; climate change</t>
  </si>
  <si>
    <t>CLIMATE-CHANGE; VASCULAR PLANTS; SWEDISH LAPLAND; CO2 EXCHANGE; ALASKA; SOIL; KARKEVAGGE; PENINSULA; GRADIENT; REGIONS</t>
  </si>
  <si>
    <t>Climate change is now evident also in Antarctica, with impacts both on the abiotic and the biotic components of ecosystems, particularly on permafrost, active layer thickness, vegetation, and soil properties. Permafrost ecosystems are recognized to be sensitive to the influences of the changing climate, which may activate, through complex mechanisms, both positive and negative feedbacks relating to CO(2) fluxes. For this reason we analysed, through a data set collected over a complete year, the thermal regime of the active layer at four sites with different vegetation (bare ground, lichen vegetation with Usnea aurantiaco-atra, moss vegetation with Sanionia uncinata, grass vegetation with Deschampsia antarctica) but with similar topographic and geomorphological conditions at Signy Island (Maritime Antarctica). Except for the Deschampsia site, the other three sites are the same formerly studied by Chambers in the 1960s. The three sites show significant differences of the mean annual ground surface temperature (MAGST), ranging from -1.9 (Usnea) to -2.6 degrees C (Sanionia). Despite the clear differences in MAGST at the investigated sites, the mean annual ground temperature at 30 cm is virtually identical. Our results confirm that mosses play an important role in cooling the ground. The results of our study allow us to suggest also that the thawing degree days should be used instead of the growing degree days as a more suitable measure of the favourable conditions for the growth of the Antarctic cryptogam vegetation. Comparing our data with those of Chambers [Chambers, M.J.G., 1966b. Investigations on patterned ground at Signy Island, South Orkney Islands: II. Temperature regimes in the active layer. British Antarctic Survey Bulletin, 10: 71-83.], we can stress that the thermal conditions favourable to the frost heave is actually even more limited in depth (30 cm vs 40 cm in Chambers). Moreover, the freeze-thaw days near the surface appeared to be more frequent in the vegetated sites than in the bare ground. (c) 2007 Elsevier B.V. All rights reserved.</t>
  </si>
  <si>
    <t>[Guglielmin, Mauro] Univ Insubria Varese, DBSF, I-21100 Varese, Italy; [Evans, Cynan J. Ellis] British Antarctic Survey, NERC, Cambridge CB3 0ET, England; [Cannone, Nicoletta] Univ Ferrara, Dept Biol &amp; Evolut, I-44100 Ferrara, Italy</t>
  </si>
  <si>
    <t>University of Insubria; UK Research &amp; Innovation (UKRI); Natural Environment Research Council (NERC); NERC British Antarctic Survey; University of Ferrara</t>
  </si>
  <si>
    <t>Guglielmin, M (corresponding author), Univ Insubria Varese, DBSF, Via Ravasi 2, I-21100 Varese, Italy.</t>
  </si>
  <si>
    <t>mauro.guglielmin@uninsubria.it</t>
  </si>
  <si>
    <t>Cannone, Nicoletta/W-8651-2019</t>
  </si>
  <si>
    <t>Cannone, Nicoletta/0000-0002-3390-3965</t>
  </si>
  <si>
    <t>10.1016/j.geoderma.2007.10.010</t>
  </si>
  <si>
    <t>WOS:000254473000008</t>
  </si>
  <si>
    <t>Hopkins, DW; Sparrow, AD; Gregorich, EG; Novis, P; Elberling, B; Greenfield, LG</t>
  </si>
  <si>
    <t>Hopkins, D. W.; Sparrow, A. D.; Gregorich, E. G.; Novis, P.; Elberling, B.; Greenfield, L. G.</t>
  </si>
  <si>
    <t>Redistributed lacustrine detritus as a spatial subsidy of biological resources for soils in an Antarctic dry valley</t>
  </si>
  <si>
    <t>Antarctica; cyanobacteria; decomposition; dry valleys; organic matter; spatial subsidies</t>
  </si>
  <si>
    <t>CHLOROPHYLL-A FLUORESCENCE; SOUTHERN VICTORIA LAND; TAYLOR VALLEY; ORGANIC-MATTER; DESERT; MICROORGANISMS; INVERTEBRATES; PRODUCTIVITY; COMMUNITY; ECOSYSTEM</t>
  </si>
  <si>
    <t>We have characterised the distribution of lacustrine detritus stranded around a lake in a small Antarctic dry valley associated with fluctuations in lake level, quantified the wind-blown detritus presumed to have derived from lacustrine detritus and collected in sediment traps, and characterised samples of the detritus. Our aim was to understand better the processes responsible for transferring resources between lakes and the soils in Antarctic dry valleys. Stranded lacustrine detritus formed approximately parallel concentric lines identifiable to at least 37 m from the lake edge consistent with fluctuations in lake level having contributed to it having been stranded above the lake level. This detritus had delta(13)C and delta(15)N signatures characteristic of lacustrine material. It showed a trend of declining potential decomposition rate, measured in a laboratory bioassay after addition of water, with increasing horizontal distance from the present lake, consistent with the highest strandlines representing the oldest material. The amount of windblown detritus collected in sediment traps placed up to 80 m from the lake edge was equivalent to a gross mean flux of 306 mg organic C m(-2) year(-1) and 32 mg total N m(-2) year(-1). The amounts of wind-blown detritus organic C and total N were greatest furthest from the lake, however, because the detritus was collected in interception traps we cannot estimate the amount that would have been further redistributed. This intercepted detritus also had delta(13)C and delta(15)N signatures characteristic of lacustrine material and there was no trend in potential decomposition rate with distance from the lake. However, after addition of water, wind-blown detritus decomposed faster than the detritus from the strandlines, consistent with its decomposition having been arrested by desiccation. These observations suggest that inputs of organic resources of lacustrine origin, including possibly viable organisms carried with the detritus, make a localized spatial subsidy of biological resources for soil microbial communities in Antarctic dry valleys and thereby represent a trophic link between sites of primary production and indigenous soil heterotrophs. (c) 2007 Elsevier B.V. All rights reserved.</t>
  </si>
  <si>
    <t>[Hopkins, D. W.] Scottish Crop Res Inst, Dundee DD2 5DA, Scotland; [Hopkins, D. W.] Univ Stirling, Sch Biol &amp; Environm Sci, Stirling FK9 4LA, Scotland; [Sparrow, A. D.] Univ Nevada, Dept Nat Resources &amp; Environm Sci, Reno, NV 89512 USA; [Gregorich, E. G.] Agr &amp; Agri Food Canada, Ottawa, ON K1A 0C6, Canada; [Novis, P.] Manaaki Whenua Landcare Res, Lincoln 7640, New Zealand; [Elberling, B.] Univ Copenhagen, Inst Geog &amp; Geol, DK-1350 Copenhagen, Denmark; [Greenfield, L. G.] Univ Canterbury, Sch Biol Sci, Christchurch 8020, New Zealand</t>
  </si>
  <si>
    <t>James Hutton Institute; University of Stirling; Nevada System of Higher Education (NSHE); University of Nevada Reno; Agriculture &amp; Agri Food Canada; Landcare Research - New Zealand; University of Copenhagen; University of Canterbury</t>
  </si>
  <si>
    <t>Hopkins, DW (corresponding author), Scottish Crop Res Inst, Dundee DD2 5DA, Scotland.</t>
  </si>
  <si>
    <t>david.hopkins@scri.ac.uk</t>
  </si>
  <si>
    <t>Sparrow, Ashley/D-7872-2011; Sparrow, Ashley/AAD-7709-2020; Gregorich, Edward G./J-9785-2012; Elberling, Bo/M-4000-2014</t>
  </si>
  <si>
    <t>Sparrow, Ashley/0000-0003-0388-8255; Novis, Phil/0000-0002-8802-4984; Gregorich, Edward/0000-0003-3652-2946; Elberling, Bo/0000-0002-6023-885X; Hopkins, David/0000-0003-0953-8643</t>
  </si>
  <si>
    <t>NERC [NE/D00893X/1] Funding Source: UKRI; Natural Environment Research Council [NE/D00893X/1] Funding Source: researchfish</t>
  </si>
  <si>
    <t>10.1016/j.geoderma.2007.10.016</t>
  </si>
  <si>
    <t>WOS:000254473000009</t>
  </si>
  <si>
    <t>Schaefer, CEGR; Simas, FNB; Gilkes, RJ; Mathison, C; da Costa, LM; Albuquerque, MA</t>
  </si>
  <si>
    <t>Schaefer, Carlos Ernesto G. R.; Simas, Felipe N. B.; Gilkes, Robert J.; Mathison, Charter; da Costa, Liovando M.; Albuquerque, Miriam A.</t>
  </si>
  <si>
    <t>Micromorphology and microchemistry of selected Cryosols from maritime Antarctica</t>
  </si>
  <si>
    <t>ornithogenic soils; antarctic soils; cryoturbation; gelisols</t>
  </si>
  <si>
    <t>PERMAFROST-AFFECTED SOILS; KING GEORGE ISLAND; TURBIC CRYOSOLS; MORPHOLOGY; MINERALS; GENESIS; CARBON</t>
  </si>
  <si>
    <t>Little information is available on the microstructure of Cryosols from maritime Antarctica, and the present study characterizes the main soil types commonly found in ice-free areas of Admiralty Bay, King George Island. Four pedons were selected for micromorphological and microprobe analysis. The type of microstructure observed in the soils is strongly influenced by the lithological composition and arrangement, with a high proportion of primary minerals in all particle fractions. The oxidation of sulphides is the most important pedogenetic process in acid sulphate soils from maritime Antarctica and results in intense chemical weathering of minerals and formation of Na-jarosite, amorphous Fe-oxides and kaolinite. Jarosite forms illuvial coating within cryodesiccation fractures and is associated with large amounts of amorphous Fe minerals that possess a high P adsorption capacity. In ornithogenic soils, the phosphatization process enhances soil acidity and chemical alteration of the substrate and is the main soil-forming process in ornithogerric soils. P-rich solutions penetrate cryodesiccation fractures and cleavage planes in large clasts and preferentially react with volcanic glass. Soil reaction with P-rich leachates leads to the progressive displacement of Si from rock minerals, coupled with reacting of P with Al, Fe, K and Mg to form various amorphous and crystalline P forms. Cryoclastic weathering and cryoturbation result in high levels of fine P-rich aggregates down the profile. Chemical weathering is more pronounced in maritime Antarctica than previously thought, especially for acid sulphate and ornithogenic soils. The utilization of micromorphological and microchemical techniques proved to be extremely useful for a better understanding of pedogenesis in these poorly known Antarctic soils. (c) 2007 Elsevier B.V. All rights reserved.</t>
  </si>
  <si>
    <t>[Schaefer, Carlos Ernesto G. R.; da Costa, Liovando M.] Univ Fed Vicosa, Dept Solos, BR-36570000 Vicosa, MG, Brazil; [Simas, Felipe N. B.; Albuquerque, Miriam A.] Ctr Univ Caratinga, BR-35300000 Caratinga, Brazil; [Gilkes, Robert J.; Mathison, Charter] Univ Western Australia, Sch Earth &amp; Geog Sci, Nedlands, WA 6009, Australia</t>
  </si>
  <si>
    <t>Universidade Federal de Vicosa; University of Western Australia</t>
  </si>
  <si>
    <t>Schaefer, CEGR (corresponding author), Univ Fed Vicosa, Dept Solos, Av PH Rolfs S-N, BR-36570000 Vicosa, MG, Brazil.</t>
  </si>
  <si>
    <t>carlos.schaefer@ufv.br</t>
  </si>
  <si>
    <t>Schaefer, Carlos Ernesto/AAY-4977-2020</t>
  </si>
  <si>
    <t>Ernesto Goncalves Reynaud Schaefer, Carlos/0000-0001-7060-1598; Ernesto Goncalves Reynaud Schaefer, Carlos/0000-0001-5735-3227; Costa, Liovando Marciano da/0000-0001-9581-0783; gilkes, robert/0000-0002-8826-8399</t>
  </si>
  <si>
    <t>10.1016/j.geoderma.2007.10.018</t>
  </si>
  <si>
    <t>WOS:000254473000011</t>
  </si>
  <si>
    <t>Simas, FNB; Schaefer, CEGR; Filho, MRA; Francelino, MR; Filho, EIF; da Costa, LM</t>
  </si>
  <si>
    <t>Simas, Felipe N. B.; Schaefer, Carlos Emesto G. R.; Albuquerque Filho, Manoel R.; Francelino, Marcio Rocha; Fernandes Filho, Elpidio I.; da Costa, Liovando M.</t>
  </si>
  <si>
    <t>Genesis, properties and classification of Cryosols from Admiralty Bay, maritime Antarctica</t>
  </si>
  <si>
    <t>cryosols; permafrost; maritime Antarctica; ornithogenic soils; pedogenesis; polar soils</t>
  </si>
  <si>
    <t>SOUTH SHETLAND ISLANDS; KING GEORGE ISLAND; SOILS; MINERALS</t>
  </si>
  <si>
    <t>Soils from maritime Antarctica are different than those from other Antarctic climatic zones and are among the least studied soils in Antarctica. We here present analytical and morphological data for the main soils found in Admiralty Bay, King George Island in the South Shetland Group. Fifty-six (56) pedons were described, sampled and analyzed according to standard international methods and classified according to both U.S. Soil Taxonomy and the WRB. The soils are generally weakly developed and have chemical, physical and morphological characteristics strongly influenced by the parent material. We identify four main soil groups: (i) basaltic/andesitic, (ii) acid sulfate, (iii) weakly ornithogenic and (iv) ornithogenic soils. Small adjustments are proposed for both classification systems for allowing a more adequate classification for maritime Antarctica. Greyish colored, eutric Lithic and Typic Haploturbels (Turbi-leptic Cryosols) with neutral to alkaline reaction are the most common soils in Admiralty Bay, and are usually developed from basaltic/andesitic tills. Yellowish, acid, dystric Sulphuric Haploturbels (Turbi-thionic Cryosols) are restricted to areas affected by pyritized andesites. Umbriturbels (Turbi-umbric Cryosols) only occur at sites under bird influence. Ornithogenic soils are the most developed soils in Admiralty Bay and show pronounced chemical, physical and morphological alteration of parent materials, with formation of umbric epipedons and phosphatic B horizons. Fibristels (Organo-turbic Cryosols) are restricted to hydromorphic areas under thick moss carpets. (c) 2007 Elsevier B.V. All rights reserved.</t>
  </si>
  <si>
    <t>[Simas, Felipe N. B.] Ctr Univ Caratinga, UNEC, BR-35300000 Caratinga, MG, Brazil; [Schaefer, Carlos Emesto G. R.; Fernandes Filho, Elpidio I.; da Costa, Liovando M.] Univ Fed Vicosa, Dept Solos, BR-36570000 Vicosa, MG, Brazil; [Albuquerque Filho, Manoel R.] Ctr Pesquisa Agropecuaria Cerrados, EMBRAPA, BR-77019800 Palmas, TO, Brazil; [Francelino, Marcio Rocha] Univ Fed Rural Rio Janeiro, Programa Pos Grad Ciencias Ambientais &amp; Florestai, BR-23890000 Seropedica, RJ, Brazil</t>
  </si>
  <si>
    <t>Universidade Federal de Vicosa; Empresa Brasileira de Pesquisa Agropecuaria (EMBRAPA); Universidade Federal Rural do Rio de Janeiro (UFRRJ)</t>
  </si>
  <si>
    <t>Simas, FNB (corresponding author), Ctr Univ Caratinga, UNEC, Av Moacyr Mattos 87, BR-35300000 Caratinga, MG, Brazil.</t>
  </si>
  <si>
    <t>fsimass@yahoo.com.br</t>
  </si>
  <si>
    <t>Schaefer, Carlos Ernesto/AAY-4977-2020; Francelino, Marcio Rocha/AAS-4224-2020; Filho, Elpídio Inácio Fernandes/AAE-7315-2019; Filho, Elpidio I Fernandes/G-1560-2012</t>
  </si>
  <si>
    <t>Francelino, Marcio Rocha/0000-0001-8837-1372; Filho, Elpídio Inácio Fernandes/0000-0002-9484-1411; Ernesto Goncalves Reynaud Schaefer, Carlos/0000-0001-7060-1598; Fernandes Filho, Elpidio Inacio/0000-0003-2440-8329; Ernesto Goncalves Reynaud Schaefer, Carlos/0000-0001-5735-3227; Costa, Liovando Marciano da/0000-0001-9581-0783</t>
  </si>
  <si>
    <t>10.1016/j.geoderma.2007.10.019</t>
  </si>
  <si>
    <t>WOS:000254473000012</t>
  </si>
  <si>
    <t>Hwang, YS; Jung, G; Jin, E</t>
  </si>
  <si>
    <t>Hwang, Yong-Sic; Jung, Gyeongseo; Jin, EonSeon</t>
  </si>
  <si>
    <t>Transcriptome analysis of acclimatory responses to thermal stress in Antarctic algae</t>
  </si>
  <si>
    <t>BIOCHEMICAL AND BIOPHYSICAL RESEARCH COMMUNICATIONS</t>
  </si>
  <si>
    <t>Antarctic; diatom; cDNA microarray; acclimation; thermal stress; fucoxanthin chlorophyll a/c-binding proteins</t>
  </si>
  <si>
    <t>PHOTOSYNTHETIC ENERGY-CONVERSION; EXPRESSION PROFILE ANALYSIS; SEA-ICE DIATOMS; EXTREME CONDITIONS; LIMITED GROWTH; LIGHT; PROTEINS; COLD; TEMPERATURE; ADAPTATION</t>
  </si>
  <si>
    <t>A customized cDNA chip analysis provided the relative expression profiling of 1439 ESTs of Chaetoceros neogracile in culture environments maintained between 4 and 10 degrees C. Among the 1439 probes, 21.5% were differentially regulated (&gt;= 2-fold) by the temperature upshift within three days. Up-regulation was more prominent among cytoprotective genes, whereas down-regulation was featured in photosynthetic genes. A third of the differentially expressed genes had an unknown function or no similarity to known genes, highlighting their potential importance as a resource to identify key players in the acclimation response of polar algae under thermal stress. Our transcriptome analysis also revealed novel aspects of temperature-responsive, coordinated changes in the abundance of specific mRNAs, along with the rapid establishment of molecular homeostasis in polar algae. Unexpectedly, a small set of genes encoding fucoxanthin chlorophyll a/c-binding proteins were rapidly up-regulated by thermal stress, implying that they have different roles other than light harvesting. (C) 2007 Elsevier Inc. All rights reserved.</t>
  </si>
  <si>
    <t>[Jung, Gyeongseo; Jin, EonSeon] Hanyang Univ, Coll Nat Sci, Dept Life Sci, Seoul 133791, South Korea; [Hwang, Yong-Sic] Konkuk Univ, Dept Biosci &amp; Biotechnol, Seoul 143701, South Korea</t>
  </si>
  <si>
    <t>Hanyang University; Konkuk University</t>
  </si>
  <si>
    <t>Jin, E (corresponding author), Hanyang Univ, Coll Nat Sci, Dept Life Sci, 17 Haengdangdong, Seoul 133791, South Korea.</t>
  </si>
  <si>
    <t>esjin@hanyang.ae.kr</t>
  </si>
  <si>
    <t>Jin, EonSeon/AAW-6839-2020</t>
  </si>
  <si>
    <t>Jin, EonSeon/0000-0001-5691-0124; Hwang, Yong-sic/0000-0002-9064-8681</t>
  </si>
  <si>
    <t>0006-291X</t>
  </si>
  <si>
    <t>BIOCHEM BIOPH RES CO</t>
  </si>
  <si>
    <t>Biochem. Biophys. Res. Commun.</t>
  </si>
  <si>
    <t>MAR 14</t>
  </si>
  <si>
    <t>10.1016/j.bbrc.2007.12.176</t>
  </si>
  <si>
    <t>Biochemistry &amp; Molecular Biology; Biophysics</t>
  </si>
  <si>
    <t>260LY</t>
  </si>
  <si>
    <t>WOS:000253013000020</t>
  </si>
  <si>
    <t>Stammerjohn, SE; Martinson, DG; Smith, RC; Yuan, X; Rind, D</t>
  </si>
  <si>
    <t>Stammerjohn, S. E.; Martinson, D. G.; Smith, R. C.; Yuan, X.; Rind, D.</t>
  </si>
  <si>
    <t>Trends in Antarctic annual sea ice retreat and advance and their relation to El Nino-Southern Oscillation and Southern Annular Mode variability</t>
  </si>
  <si>
    <t>ATMOSPHERIC CIRCULATION; BELLINGSHAUSEN SEA; PENINSULA REGION; SPATIAL-PATTERNS; OCEAN CLIMATE; HEMISPHERE; ENSO; TEMPERATURE; IMPACT; PRECIPITATION</t>
  </si>
  <si>
    <t>Previous studies have shown strong contrasting trends in annual sea ice duration and in monthly sea ice concentration in two regions of the Southern Ocean: decreases in the western Antarctic Peninsula/southern Bellingshausen Sea ( wAP/sBS) region and increases in the western Ross Sea ( wRS) region. To better understand the evolution of these regional sea ice trends, we utilize the full temporal ( quasi-daily) resolution of satellite-derived sea ice data to track spatially the annual ice edge advance and retreat from 1979 to 2004. These newly analyzed data reveal that sea ice is retreating 31 +/- 10 days earlier and advancing 54 +/- 9 days later in the wAP/sBS region ( i.e., total change over 1979 - 2004), whereas in the wRS region, sea ice is retreating 29 +/- 6 days later and advancing 31 +/- 6 days earlier. Changes in the wAP/sBS and wRS regions, particularly as observed during sea ice advance, occurred in association with decadal changes in the mean state of the Southern Annular Mode ( SAM; negative in the 1980s and positive in the 1990s) and the high-latitude response to El Nino - Southern Oscillation ( ENSO). In general, the high-latitude ice-atmosphere response to ENSO was strongest when - SAM was coincident with El Nino and when +SAM was coincident with La Nina, particularly in the wAP/sBS region. In total, there were 7 of 11 -SAMs between 1980 and 1990 and the 7 of 10 +SAMs between 1991 and 2000 that were associated with consistent decadal sea ice changes in the wAP/sBS and wRS regions, respectively. Elsewhere, ENSO/SAM-related sea ice changes were not as consistent over time ( e. g., western Weddell, Amundsen, and eastern Ross Sea region), or variability in general was high ( e. g., central/ eastern Weddell and along East Antarctica).</t>
  </si>
  <si>
    <t>[Stammerjohn, S. E.; Martinson, D. G.; Yuan, X.] Columbia Univ, Lamont Doherty Earth Observ, Palisades, NY 10964 USA; [Stammerjohn, S. E.; Martinson, D. G.] Columbia Univ, Dept Earth &amp; Environm Sci, New York, NY USA; [Smith, R. C.] Univ Calif Santa Barbara, Inst Computat Earth Syst Sci, Santa Barbara, CA 93106 USA; [Smith, R. C.] Univ Calif Santa Barbara, Dept Geog, Santa Barbara, CA 93106 USA; [Rind, D.] NASA, Goddard Inst Space Studies, New York, NY 10025 USA</t>
  </si>
  <si>
    <t>Columbia University; Columbia University; University of California System; University of California Santa Barbara; University of California System; University of California Santa Barbara; National Aeronautics &amp; Space Administration (NASA); NASA Goddard Space Flight Center; Goddard Institute for Space Studies</t>
  </si>
  <si>
    <t>Stammerjohn, SE (corresponding author), Columbia Univ, Lamont Doherty Earth Observ, Palisades, NY 10964 USA.</t>
  </si>
  <si>
    <t>sstammerjohn@giss.nasa.gov</t>
  </si>
  <si>
    <t>Yuan, Xiaojun/0000-0002-6530-1619; STAMMERJOHN, SHARON/0000-0002-1697-8244</t>
  </si>
  <si>
    <t>Office of Polar Programs (OPP); Directorate For Geosciences [0823101] Funding Source: National Science Foundation</t>
  </si>
  <si>
    <t>C03S90</t>
  </si>
  <si>
    <t>10.1029/2007JC004269</t>
  </si>
  <si>
    <t>276UB</t>
  </si>
  <si>
    <t>WOS:000254167600003</t>
  </si>
  <si>
    <t>Corti, G; Zeoli, A; Belmaggio, P; Folco, L</t>
  </si>
  <si>
    <t>Corti, Giacomo; Zeoli, Antonio; Belmaggio, Pietro; Folco, Luigi</t>
  </si>
  <si>
    <t>Physical modeling of the influence of bedrock topography and ablation on ice flow and meteorite concentration in Antarctica</t>
  </si>
  <si>
    <t>BLUE-ICE; SURFACE; COLLECTION; RHEOLOGY; DYNAMICS; LAW</t>
  </si>
  <si>
    <t>Three-dimensional laboratory physical experiments have been used to investigate the influence of bedrock topography and ablation on ice flow. Different models were tested in a Plexiglas box, where a transparent silicone simulating ice in nature was allowed to flow. Experimental results show how the flow field (in terms of both flow lines and velocity) and variations in the topography of the free surface and internal layers of the ice are strongly influenced by the presence and height of bedrock obstacles. In particular, the buttressing effect forces the ice to slow down, rise up, and avoid the obstacle; the higher the bedrock barrier, the more pronounced the process. Only limited uplift of internal layers is observed in these experiments. In order to exhume deep material embedded in the ice, ablation (simulated by physically removing portions of silicone from the model surface to maintain a constant topographic depression) must be included in the physical models. In this case, the analogue ice replenishes the area of material removal, thereby allowing deep layers to move vertically to the surface and severely altering the local ice flow pattern. This process is analogous to the ice flow model proposed in the literature for the origin of meteorite concentrations in blue ice areas of the Antarctic plateau.</t>
  </si>
  <si>
    <t>[Corti, Giacomo] CNR, Ist Geosci &amp; Georisorse, I-50121 Florence, Italy; [Zeoli, Antonio; Folco, Luigi] Museo Nazl Antartide, I-53100 Siena, Italy; [Belmaggio, Pietro] Univ Florence, Dipartimento Sci Terra, I-50121 Florence, Italy</t>
  </si>
  <si>
    <t>Consiglio Nazionale delle Ricerche (CNR); Istituto di Geoscienze e Georisorse (IGG-CNR); University of Florence</t>
  </si>
  <si>
    <t>Corti, G (corresponding author), CNR, Ist Geosci &amp; Georisorse, Via G La Pira 4, I-50121 Florence, Italy.</t>
  </si>
  <si>
    <t>zeoli@unisi.it</t>
  </si>
  <si>
    <t>Corti, Giacomo/C-9517-2015; Folco, Luigi/AAA-6351-2020; Folco, Luigi/AAB-8586-2021</t>
  </si>
  <si>
    <t>Corti, Giacomo/0000-0001-7399-4438; Folco, Luigi/0000-0002-7276-3483</t>
  </si>
  <si>
    <t>MAR 13</t>
  </si>
  <si>
    <t>F1</t>
  </si>
  <si>
    <t>F01018</t>
  </si>
  <si>
    <t>10.1029/2006JF000708</t>
  </si>
  <si>
    <t>276TS</t>
  </si>
  <si>
    <t>WOS:000254166600001</t>
  </si>
  <si>
    <t>Chisham, G; Freeman, MP; Abel, GA; Lam, MM; Pinnock, M; Coleman, IJ; Milan, SE; Lester, M; Bristow, WA; Greenwald, RA; Sofko, GJ; Villain, JP</t>
  </si>
  <si>
    <t>Chisham, G.; Freeman, M. P.; Abel, G. A.; Lam, M. M.; Pinnock, M.; Coleman, I. J.; Milan, S. E.; Lester, M.; Bristow, W. A.; Greenwald, R. A.; Sofko, G. J.; Villain, J. -P.</t>
  </si>
  <si>
    <t>Remote sensing of the spatial and temporal structure of magnetopause and magnetotail reconnection from the ionosphere</t>
  </si>
  <si>
    <t>INTERPLANETARY MAGNETIC-FIELD; HIGH-LATITUDE CONVECTION; HF-RADAR OBSERVATIONS; POLAR-CAP BOUNDARY; PARTICLE-PRECIPITATION BOUNDARIES; SPECTRAL WIDTH BOUNDARIES; DAYSIDE RECONNECTION; ELECTRIC-FIELD; AURORAL OVAL; CUSP-REGION</t>
  </si>
  <si>
    <t>Magnetic reconnection is the most significant process that results in the transport of magnetized plasma into and out of the Earth's magnetosphere-ionosphere system. There is also compelling observational evidence that it plays a major role in the dynamics of the solar corona, and it may also be important for understanding cosmic rays, accretion disks, magnetic dynamos, and star formation. The Earth's magnetosphere and ionosphere are presently the most accessible natural plasma environments where magnetic reconnection and its consequences can be measured, either in situ or by remote sensing. This paper presents a complete methodology for the remote sensing of magnetic reconnection in the magnetosphere from the ionosphere. This method combines measurements of ionospheric plasma convection and the ionospheric footprint of the reconnection separatrix. Techniques for measuring both the ionospheric plasma flow and the location and motion of the reconnection separatrix are reviewed, and the associated assumptions and uncertainties are assessed, using new analyses where required. Application of the overall methodology is demonstrated by the study of a 2-h interval from 26 December 2000 using a wide range of spacecraft and ground-based measurements of the Northern Hemisphere ionosphere. This example illustrates how spatial and temporal variations in the reconnection rate, as well as changes in the balance of magnetopause (dayside) and magnetotail (nightside) reconnection, can be routinely monitored, affording new opportunities for understanding the universal reconnection process and its influence on all aspects of space weather.</t>
  </si>
  <si>
    <t>[Chisham, G.; Freeman, M. P.; Abel, G. A.; Lam, M. M.; Pinnock, M.; Coleman, I. J.] British Antarctic Survey, NERC, Cambridge CB3 0ET, England; [Milan, S. E.; Lester, M.] Univ Leicester, Dept Phys &amp; Astron, Leicester LE1 7RH, Leics, England; [Bristow, W. A.] Univ Alaska Fairbanks, Inst Geophys, Fairbanks, AK 99775 USA; [Greenwald, R. A.] Johns Hopkins Univ, Appl Phys Lab, Laurel, MD 20723 USA; [Sofko, G. J.] Univ Saskatchewan, Inst Space &amp; Atmospher Studies, Saskatoon, SK S7N 5E2, Canada; [Villain, J. -P.] CNRS, Lab Phys &amp; Chim Environm, F-45071 Orleans, France</t>
  </si>
  <si>
    <t>UK Research &amp; Innovation (UKRI); Natural Environment Research Council (NERC); NERC British Antarctic Survey; University of Leicester; University of Alaska System; University of Alaska Fairbanks; Johns Hopkins University; Johns Hopkins University Applied Physics Laboratory; University of Saskatchewan; Centre National de la Recherche Scientifique (CNRS)</t>
  </si>
  <si>
    <t>Chisham, G (corresponding author), British Antarctic Survey, NERC, High Cross,Madingley Rd, Cambridge CB3 0ET, England.</t>
  </si>
  <si>
    <t>gchi@bas.ac.uk; mpf@bas.ac.uk; gaab@bas.ac.uk; mml@bas.ac.uk; mpi@bas.ac.uk</t>
  </si>
  <si>
    <t>Lester, Mark/C-9657-2016; Abel, Gary/ABE-1765-2021; Freeman, Mervyn/E-5687-2019</t>
  </si>
  <si>
    <t>Abel, Gary/0000-0003-2231-5161; Greenwald, Raymond/0000-0002-7421-5536; Freeman, Mervyn/0000-0002-8653-8279; Milan, Steve/0000-0001-5050-9604</t>
  </si>
  <si>
    <t>Natural Environment Research Council [bas010004, bas010021] Funding Source: researchfish; Science and Technology Facilities Council [PP/E000983/1, PP/E007929/1] Funding Source: researchfish; NERC [bas010021, bas010004] Funding Source: UKRI; STFC [PP/E000983/1, PP/E007929/1] Funding Source: UKRI</t>
  </si>
  <si>
    <t>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</si>
  <si>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MAR 12</t>
  </si>
  <si>
    <t>RG1004</t>
  </si>
  <si>
    <t>10.1029/2007RG000223</t>
  </si>
  <si>
    <t>276US</t>
  </si>
  <si>
    <t>WOS:000254169600001</t>
  </si>
  <si>
    <t>Williams, N</t>
  </si>
  <si>
    <t>Williams, Nigel</t>
  </si>
  <si>
    <t>Worries heighten Antarctic focus</t>
  </si>
  <si>
    <t>600 TECHNOLOGY SQUARE, 5TH FLOOR, CAMBRIDGE, MA 02139 USA</t>
  </si>
  <si>
    <t>MAR 11</t>
  </si>
  <si>
    <t>R179</t>
  </si>
  <si>
    <t>R180</t>
  </si>
  <si>
    <t>10.1016/j.cub.2008.02.040</t>
  </si>
  <si>
    <t>273LL</t>
  </si>
  <si>
    <t>WOS:000253932000001</t>
  </si>
  <si>
    <t>Dmitrenko, IA; Kirillov, SA; Tremblay, LB</t>
  </si>
  <si>
    <t>Dmitrenko, Igor A.; Kirillov, Sergey A.; Tremblay, L. Bruno</t>
  </si>
  <si>
    <t>The long-term and interannual variability of summer fresh water storage over the eastern Siberian shelf: Implication for climatic change</t>
  </si>
  <si>
    <t>ARCTIC-OCEAN; SEA-ICE; RIVER DISCHARGE; RECENT DECREASE; CIRCULATION; HALOCLINE; PRESSURE; TRENDS; HEAT</t>
  </si>
  <si>
    <t>A time series of summer fresh water content anomalies ( FWCA) over the Laptev and East Siberian sea shelves was constructed from historical hydrographic records for the period from 1920 to 2005. Results from a multiple regression between FCWA and various atmospheric and oceanic indices show that the fresh water content on the shelves is mainly controlled by atmospheric vorticity on quasi-decadal timescales. When the vorticity of the atmosphere on the shelves is antycyclonic, approximately 500 km(3) of fresh water migrates from the eastern Siberian shelf to the Arctic Ocean through the northeastern Laptev Sea. When the vorticity of the atmosphere is cyclonic, this fresh water remains on the southern Laptev and East Siberian sea shelves. This FWCA represents approximately 35% of the total fresh water inflow provided by river discharge and local sea-ice melt, and is about ten times larger than the standard deviation of the Lena River summer long-term mean discharge. However, the large interannual and spatial variability in the fresh water content of the shelves, as well as the spatial coverage of the hydrographic data, makes it difficult to detect the long-term tendency of fresh water storage associated with climate change.</t>
  </si>
  <si>
    <t>[Dmitrenko, Igor A.] Univ Kiel, Leibniz Inst Marine Sci, Kiel, Germany; [Kirillov, Sergey A.] Arctic &amp; Antarctic Res Inst, St Petersburg 199226, Russia; [Tremblay, L. Bruno] McGill Univ, Montreal, PQ, Canada</t>
  </si>
  <si>
    <t>University of Kiel; Helmholtz Association; GEOMAR Helmholtz Center for Ocean Research Kiel; Arctic &amp; Antarctic Research Institute; McGill University</t>
  </si>
  <si>
    <t>Dmitrenko, IA (corresponding author), Univ Kiel, Leibniz Inst Marine Sci, Kiel, Germany.</t>
  </si>
  <si>
    <t>Tremblay, Bruno/I-4497-2012</t>
  </si>
  <si>
    <t>Dmitrenko, Igor/0000-0001-8388-7839</t>
  </si>
  <si>
    <t>MAR 8</t>
  </si>
  <si>
    <t>C03007</t>
  </si>
  <si>
    <t>10.1029/2007JC004304</t>
  </si>
  <si>
    <t>276QX</t>
  </si>
  <si>
    <t>WOS:000254158300002</t>
  </si>
  <si>
    <t>Krylov, AA; Andreeva, IA; Vogt, C; Backman, J; Krupskaya, VV; Grikurov, GE; Moran, K; Shoji, H</t>
  </si>
  <si>
    <t>Krylov, Alexey A.; Andreeva, Irina A.; Vogt, Christoph; Backman, Jan; Krupskaya, Viktoria V.; Grikurov, Garrik E.; Moran, Kathryn; Shoji, Hitoshi</t>
  </si>
  <si>
    <t>A shift in heavy and clay mineral provenance indicates a middle Miocene onset of a perennial sea ice cover in the Arctic Ocean</t>
  </si>
  <si>
    <t>SURFACE SEDIMENTS; TRANSPORT; CIRCULATION; ENTRAINMENT; SHELF; BASIN; ASSEMBLAGES; PLEISTOCENE; PATHWAYS; PATTERNS</t>
  </si>
  <si>
    <t>During the Arctic Coring Expedition (ACEX), a 428-m-thick sequence of Upper Cretaceous to Quaternary sediments was penetrated. The mineralogical composition of the upper 300 m of this sequence is presented here for the first time. Heavy and clay mineral associations indicate a major and consistent shift in provenance, from the Barents-Kara-western Laptev Sea region, characterized by presence of common clinopyroxene, to the eastern Laptev-East Siberian seas in the upper part of the section, characterized by common hornblende (amphibole). Sea ice originating from the latter source region must have survived at least one summer melt cycle in order to reach the ACEX drill site, if considering modern sea ice trajectories and velocities. This shift in mineral assemblages probably represents the onset of a perennial sea ice cover in the Arctic Ocean, which occurred at about 13 Ma, thus suggesting a coeval freeze in the Arctic and Antarctic regions.</t>
  </si>
  <si>
    <t>[Krylov, Alexey A.; Andreeva, Irina A.; Grikurov, Garrik E.] VNIIOkeangeol, St Petersburg 190121, Russia; [Krylov, Alexey A.; Shoji, Hitoshi] Kitami Inst Technol, Kitami, Hokkaido 0908507, Japan; [Vogt, Christoph] Univ Bremen, Dept Geosci, D-28334 Bremen, Germany; [Backman, Jan] Stockholm Univ, Dept Geol &amp; Geochem, SE-10691 Stockholm, Sweden; [Krupskaya, Viktoria V.] Russian Acad Sci, Inst Geol Ore Deposits Petrog Mineral &amp; Geoche, Moscow 190117, Russia; [Moran, Kathryn] Univ Rhode Isl, Grad Sch Oceanog, Narragansett, RI 02882 USA</t>
  </si>
  <si>
    <t>Kitami Institute of Technology; University of Bremen; Stockholm University; Russian Academy of Sciences; Institute of Geology of Ore Deposits, Petrography, Mineralogy &amp; Geochemistry; University of Rhode Island</t>
  </si>
  <si>
    <t>Krylov, AA (corresponding author), VNIIOkeangeol, Angliysky Ave 1, St Petersburg 190121, Russia.</t>
  </si>
  <si>
    <t>akrylov@gmail.com; andreevairi@yandex.ru; cvogt@uni-bremen.de; backman@geo.su.se; vi_kru@bk.ru; grikurov@mail.ru; kate.moran@gso.uri.edu; shojihts@mail.kitamiit.ac.jp</t>
  </si>
  <si>
    <t>Krupskaya, Victoria V/J-7784-2012; Krylov, Alexey/R-4723-2019</t>
  </si>
  <si>
    <t>Krylov, Alexey/0000-0001-5539-9758; Krupskaya, Victoria/0000-0002-6127-748X</t>
  </si>
  <si>
    <t>PA1S06</t>
  </si>
  <si>
    <t>10.1029/2007PA001497</t>
  </si>
  <si>
    <t>276RH</t>
  </si>
  <si>
    <t>WOS:000254159300001</t>
  </si>
  <si>
    <t>Rodger, CJ; Clilverd, MA</t>
  </si>
  <si>
    <t>Rodger, Craig J.; Clilverd, Mark A.</t>
  </si>
  <si>
    <t>Magnetospheric physics - Hiss from the chorus</t>
  </si>
  <si>
    <t>[Rodger, Craig J.] Univ Otago, Dept Phys, Dunedin 9054, New Zealand; [Clilverd, Mark A.] British Antarctic Survey, Div Phys Sci, Cambridge CB3 0ET, England</t>
  </si>
  <si>
    <t>University of Otago; UK Research &amp; Innovation (UKRI); Natural Environment Research Council (NERC); NERC British Antarctic Survey</t>
  </si>
  <si>
    <t>Rodger, CJ (corresponding author), Univ Otago, Dept Phys, POB 56, Dunedin 9054, New Zealand.</t>
  </si>
  <si>
    <t>crodger@physics.otago.ac.nz; macl@bas.ac.uk</t>
  </si>
  <si>
    <t>Rodger, Craig/A-1501-2011</t>
  </si>
  <si>
    <t>Rodger, Craig J./0000-0002-6770-2707</t>
  </si>
  <si>
    <t>MAR 6</t>
  </si>
  <si>
    <t>10.1038/452041a</t>
  </si>
  <si>
    <t>269SZ</t>
  </si>
  <si>
    <t>WOS:000253671900038</t>
  </si>
  <si>
    <t>Bortnik, J; Thorne, RM; Meredith, NP</t>
  </si>
  <si>
    <t>Bortnik, Jacob; Thorne, Richard M.; Meredith, Nigel P.</t>
  </si>
  <si>
    <t>The unexpected origin of plasmaspheric hiss from discrete chorus emissions</t>
  </si>
  <si>
    <t>MAGNETOSPHERICALLY REFLECTING WHISTLERS; RADIATION BELT ELECTRONS; FREQUENCY; SATELLITE</t>
  </si>
  <si>
    <t>Plasmaspheric hiss(1) is a type of electromagnetic wave found ubiquitously in the dense plasma region that encircles the Earth, known as the plasmasphere(2). This important wave is known to remove(3-5) the high- energy electrons that are trapped along the Earth's magnetic field lines(6), and therefore helps to reduce the radiation hazards to satellites and humans in space. Numerous theories to explain the origin of hiss have been proposed over the past four decades, but none have been able to account fully for its observed properties. Here we show that a different wave type called chorus(7,8), previously thought to be unrelated to hiss, can propagate into the plasmasphere from tens of thousands of kilometres away, and evolve into hiss. Our new model naturally accounts for the observed frequency band of hiss, its incoherent nature, its day - night asymmetry in intensity, its association with solar activity and its spatial distribution. The connection between chorus and hiss is very interesting because chorus is instrumental in the formation of high- energy electrons outside the plasmasphere(9), whereas hiss depletes these electrons at lower equatorial altitudes(3,4).</t>
  </si>
  <si>
    <t>[Bortnik, Jacob; Thorne, Richard M.] Univ Calif Los Angeles, Dept Atmospher &amp; Ocean Sci, Los Angeles, CA 90095 USA; [Meredith, Nigel P.] British Antarctic Survey, NERC, Cambridge CB3 0ET, England</t>
  </si>
  <si>
    <t>University of California System; University of California Los Angeles; UK Research &amp; Innovation (UKRI); Natural Environment Research Council (NERC); NERC British Antarctic Survey</t>
  </si>
  <si>
    <t>Bortnik, J (corresponding author), Univ Calif Los Angeles, Dept Atmospher &amp; Ocean Sci, 405 Hilgard Ave, Los Angeles, CA 90095 USA.</t>
  </si>
  <si>
    <t>jbortnik@gmail.com</t>
  </si>
  <si>
    <t>Meredith, Nigel P/C-5806-2018</t>
  </si>
  <si>
    <t>Horne, Richard/0000-0002-0412-6407; Meredith, Nigel/0000-0001-5032-3463</t>
  </si>
  <si>
    <t>10.1038/nature06741</t>
  </si>
  <si>
    <t>WOS:000253671900046</t>
  </si>
  <si>
    <t>Campbell, HA; Fraser, KPP; Bishop, CM; Peck, LS; Egginton, S</t>
  </si>
  <si>
    <t>Campbell, Hamish A.; Fraser, Keiron P. P.; Bishop, Charles M.; Peck, Lloyd S.; Egginton, Stuart</t>
  </si>
  <si>
    <t>Hibernation in an Antarctic Fish: On Ice for Winter</t>
  </si>
  <si>
    <t>TEMPERATURE; SEASONALITY; PHYSIOLOGY; SEA</t>
  </si>
  <si>
    <t>Active metabolic suppression in anticipation of winter conditions has been demonstrated in species of mammals, birds, reptiles and amphibians, but not fish. This is because the reduction in metabolic rate in fish is directly proportional to the decrease in water temperature and they appear to be incapable of further suppressing their metabolic rate independently of temperature. However, the Antarctic fish (Notothenia coriiceps) is unusual because it undergoes winter metabolic suppression irrespective of water temperature. We assessed the seasonal ecological strategy by monitoring swimming activity, growth, feeding and heart rate (f(H)) in N. coriiceps as they free-ranged within sub-zero waters. The metabolic rate of wild fish was extrapolated from f(H) recordings, from oxygen consumption calibrations established in the laboratory prior to fish release. Throughout the summer months N. coriiceps spent a considerable proportion of its time foraging, resulting in a growth rate (G(w)) of 0.18 +/- 0.2% day(-1). In contrast, during winter much of the time was spent sedentary within a refuge and fish showed a net loss in Gw (-0.05 +/- 0.05% day(-1)). Whilst inactive during winter, N. coriiceps displayed a very low fH, reduced sensory and motor capabilities, and standard metabolic rate was one third lower than in summer. In a similar manner to other hibernating species, dormancy was interrupted with periodic arousals. These arousals, which lasted a few hours, occurred every 4-12 days. During arousal activity, f(H) and metabolism increased to summer levels. This endogenous suppression and activation of metabolic processes, independent of body temperature, demonstrates that N. coriiceps were effectively 'putting themselves on ice' during winter months until food resources improved. This study demonstrates that at least some fish species can enter a dormant state similar to hibernation that is not temperature driven and presumably provides seasonal energetic benefits.</t>
  </si>
  <si>
    <t>[Campbell, Hamish A.; Egginton, Stuart] Univ Birmingham, Dept Physiol, Birmingham, W Midlands, England; [Fraser, Keiron P. P.; Peck, Lloyd S.] Natl Env Res Council, British Antarctic Survey, Cambridge, England; [Bishop, Charles M.] Univ Bangor, Dept Biol Sci, Bangor, Gwynedd, Wales</t>
  </si>
  <si>
    <t>University of Birmingham; UK Research &amp; Innovation (UKRI); Natural Environment Research Council (NERC); NERC British Antarctic Survey; Bangor University</t>
  </si>
  <si>
    <t>Campbell, HA (corresponding author), Univ Birmingham, Dept Physiol, Birmingham, W Midlands, England.</t>
  </si>
  <si>
    <t>dr.hamish.campbell@gmail.com</t>
  </si>
  <si>
    <t>Egginton, Stuart/0000-0002-3084-9692; Campbell, Hamish/0000-0003-1428-1686</t>
  </si>
  <si>
    <t>NERC (UK) Antarctic Funding Initiative; British Antarctic Survey; NERC [dml011000] Funding Source: UKRI; Natural Environment Research Council [dml011000] Funding Source: researchfish</t>
  </si>
  <si>
    <t>NERC (UK) Antarctic Funding Initiative(UK Research &amp; Innovation (UKRI)Natural Environment Research Council (NERC)); British Antarctic Survey; NERC(UK Research &amp; Innovation (UKRI)Natural Environment Research Council (NERC)); Natural Environment Research Council(UK Research &amp; Innovation (UKRI)Natural Environment Research Council (NERC))</t>
  </si>
  <si>
    <t>The study was supported by an NERC (UK) Antarctic Funding Initiative Grant in collaboration with the British Antarctic Survey.</t>
  </si>
  <si>
    <t>MAR 5</t>
  </si>
  <si>
    <t>e1743</t>
  </si>
  <si>
    <t>10.1371/journal.pone.0001743</t>
  </si>
  <si>
    <t>367XT</t>
  </si>
  <si>
    <t>WOS:000260586600038</t>
  </si>
  <si>
    <t>Parra, LP; Reyes, F; Acevedo, JP; Salazar, O; Andrews, BA; Asenjo, JA</t>
  </si>
  <si>
    <t>Parra, Loreto P.; Reyes, Fernando; Acevedo, Juan Pablo; Salazar, Oriana; Andrews, Barbara A.; Asenjo, Juan A.</t>
  </si>
  <si>
    <t>Cloning and fusion expression of a cold-active lipase from marine Antarctic origin</t>
  </si>
  <si>
    <t>cold-active lipase; marine origin; fusion protein</t>
  </si>
  <si>
    <t>GENE CLONING; ESTERASE; ENZYMES; PSYCHROTROPH</t>
  </si>
  <si>
    <t>Antarctic seawater bacteria producing extracellular lipolytic enzymes with activity at low temperatures were isolated. The most promising strain was selected to perform a 16S characterization which identified it as a Psychrobacter sp. The genomic DNA of this bacterium was used for a PCR screening using primers obtained from multiple sequence alignments of lipases belonging to the hormone sensitive lipase (HSL) group of the prokaryotic species. This allowed cloning and sequencing of the DNA that partially encodes a novel lipase protein (240 bp, 80 aa). Subsequently the complete gene was obtained by a genome-walking technique. An open reading frame of 1293 bp was found, which encodes for a polypeptide of 431 amino acids, and presents 89% identity with lipase 2 from Moraxella TA 144 previously described; however its properties are very different. The promoter and downstream sequences of this gene were also obtained. The new lipase gene was cloned into expression vector pMAL-c2E and integrated into E. coli TB1. A recombinant fusion protein (MBP-lipase) with a molecular weight of 90 kDa was produced and purified which showed lipolytic activity. The optimum temperature for this fusion lipase was 20 degrees C at pH 8.0, and the activation energy was 5.5 kcal/mol between 5 and 20 degrees C at the same pH. (c) 2007 Elsevier Inc. All rights reserved.</t>
  </si>
  <si>
    <t>[Parra, Loreto P.; Reyes, Fernando; Acevedo, Juan Pablo; Salazar, Oriana; Andrews, Barbara A.; Asenjo, Juan A.] Univ Chile, Ctr Biochem Engn &amp; Biotechnol, Millennium Inst Cell Dynam &amp; Biotechnol, Santiago, Chile</t>
  </si>
  <si>
    <t>Universidad de Chile</t>
  </si>
  <si>
    <t>Andrews, BA (corresponding author), Univ Chile, Ctr Biochem Engn &amp; Biotechnol, Millennium Inst Cell Dynam &amp; Biotechnol, Beauchef 861, Santiago, Chile.</t>
  </si>
  <si>
    <t>bandrews@ing.uchile.cl</t>
  </si>
  <si>
    <t>Parra, Loreto/D-2593-2014; Andrews, Barbara/J-5070-2016; Salazar, María Oriana/J-5061-2016; Salazar, Oriana/O-4070-2018; Asenjo, Juan/L-8336-2013</t>
  </si>
  <si>
    <t>Acevedo, Juan Pablo/0000-0002-7404-3762; Asenjo, Juan/0000-0002-3475-7664</t>
  </si>
  <si>
    <t>1879-0909</t>
  </si>
  <si>
    <t>MAR 4</t>
  </si>
  <si>
    <t>10.1016/j.enzmictec.2007.11.003</t>
  </si>
  <si>
    <t>284TK</t>
  </si>
  <si>
    <t>WOS:000254728500010</t>
  </si>
  <si>
    <t>Saltzman, ES; Aydin, M; Tatum, C; Williams, MB</t>
  </si>
  <si>
    <t>Saltzman, Eric S.; Aydin, Murat; Tatum, Cheryl; Williams, Margaret B.</t>
  </si>
  <si>
    <t>2,000-year record of atmospheric methyl bromide from a South Pole ice core</t>
  </si>
  <si>
    <t>FIRN AIR; CHLORIDE; DECLINE; FLUXES; BUDGET</t>
  </si>
  <si>
    <t>This study reports measurements of methyl bromide (CH3Br) in air bubbles from a South Pole ice core, with gas ages covering the past two millennia. The air was extracted by mechanical shredding of the core under vacuum and the evolved gases were analyzed by gas chromatography with high resolution mass spectrometry and isotope dilution. These samples had estimated mean gas ages ranging from 160 BCE to 1860 CE. The mean CH3Br mixing ratio in the ice core samples was 5.39 +/-.06 ppt (1s.e., n = 113). The CH3Br measurements from this core agree with those from a Siple Dome ice core for mean gas ages between 1671 and 1860 CE, where there is overlap between the cores. The data show no linear trend over the 2000 year period prior to industrialization. Together, Antarctic ice core and firn air measurements clearly demonstrate that the increase in atmospheric CH3Br during the twentieth century exceeds natural variability during the past 2000 years. There is evidence of centennial-scale variability in CH3Br on the order of +/- 10-20% that may indicate a natural climate sensitivity of the atmospheric levels of this ozone depleting substance. The analysis of CH3Br in additional Antarctic ice cores will be needed to confirm that the centennial-scale variability observed in this core represents a southern hemisphere atmospheric history.</t>
  </si>
  <si>
    <t>[Saltzman, Eric S.; Aydin, Murat; Tatum, Cheryl; Williams, Margaret B.] Univ Calif Irvine, Dept Earth Syst Sci, Irvine, CA 92697 USA</t>
  </si>
  <si>
    <t>University of California System; University of California Irvine</t>
  </si>
  <si>
    <t>Saltzman, ES (corresponding author), Univ Calif Irvine, Dept Earth Syst Sci, Irvine, CA 92697 USA.</t>
  </si>
  <si>
    <t>esaltzma@uci.edu</t>
  </si>
  <si>
    <t>D5</t>
  </si>
  <si>
    <t>D05304</t>
  </si>
  <si>
    <t>10.1029/2007JD008919</t>
  </si>
  <si>
    <t>276QG</t>
  </si>
  <si>
    <t>WOS:000254156600003</t>
  </si>
  <si>
    <t>Rotach, MW; Andretta, M; Calanca, P; Weigel, AP; Weiss, A</t>
  </si>
  <si>
    <t>Rotach, Mathias W.; Andretta, Marco; Calanca, Pierluigi; Weigel, Andreas P.; Weiss, Alexandra</t>
  </si>
  <si>
    <t>Boundary layer characteristics and turbulent exchange mechanisms in highly complex terrain</t>
  </si>
  <si>
    <t>ACTA GEOPHYSICA</t>
  </si>
  <si>
    <t>MAP; complex terrain; boundary layer; valley wind; slope wind; turbulent exchange; high-resolution numerical modeling; turbulence parameterisation</t>
  </si>
  <si>
    <t>LARGE-EDDY SIMULATIONS; STEEP ALPINE VALLEY; FLOW STRUCTURE; PART I; SURFACE; HEAT; MOISTURE; SENSITIVITY; FREQUENCY; ENERGY</t>
  </si>
  <si>
    <t>The Mesoscale Alpine Programme's Riviera project investigated the turbulence structure and related exchange processes in an Alpine valley by combining a detailed experimental campaign with high-resolution numerical modelling. The present contribution reviews published material on the Riviera Valley's boundary layer structure and discusses new material on the near-surface turbulence structure. The general conclusion of the project is that despite the large spatial variability of turbulence characteristics and the crucial influence of topography at all scales, the physical processes can accurately be understood and modelled. Nevertheless, many of the text book characteristics like the interaction between the valley and slope wind systems or the erosion of the nocturnal valley inversion need reconsideration, at least for small non-ideal valleys like the Riviera Valley. The project has identified new areas of research such as post-processing methods for turbulence variables in complex terrain and new approaches for the surface energy balance when advection is non-negligible. The exchange of moisture and heat between the valley atmosphere and the free troposphere is dominated by local secondary circulations due to the curvature of the valley axis. Because many curved valleys exist, and operational models still have rather poor resolution, parameterization of these processes may be required.</t>
  </si>
  <si>
    <t>[Rotach, Mathias W.; Weigel, Andreas P.] MeteoSwiss, Fed Off Meteorol &amp; Climatol, Zurich, Switzerland; [Andretta, Marco] Canton Ticino, Dept Environm, Bellinzona, Switzerland; [Calanca, Pierluigi] ART Reckenholz, Zurich, Switzerland; [Weiss, Alexandra] British Antarctic Survey, Cambridge CB3 0ET, England</t>
  </si>
  <si>
    <t>Federal Office of Meteorology &amp; Climatology (MeteoSwiss); UK Research &amp; Innovation (UKRI); Natural Environment Research Council (NERC); NERC British Antarctic Survey</t>
  </si>
  <si>
    <t>Rotach, MW (corresponding author), MeteoSwiss, Fed Off Meteorol &amp; Climatol, Zurich, Switzerland.</t>
  </si>
  <si>
    <t>rotach@meteoswiss.ch</t>
  </si>
  <si>
    <t>Rotach, Mathias/E-9938-2018</t>
  </si>
  <si>
    <t>Rotach, Mathias/0000-0003-2283-309X</t>
  </si>
  <si>
    <t>SPRINGER INTERNATIONAL PUBLISHING AG</t>
  </si>
  <si>
    <t>CHAM</t>
  </si>
  <si>
    <t>GEWERBESTRASSE 11, CHAM, CH-6330, SWITZERLAND</t>
  </si>
  <si>
    <t>1895-6572</t>
  </si>
  <si>
    <t>1895-7455</t>
  </si>
  <si>
    <t>ACTA GEOPHYS</t>
  </si>
  <si>
    <t>Acta Geophys.</t>
  </si>
  <si>
    <t>MAR</t>
  </si>
  <si>
    <t>10.2478/s11600-007-0043-1</t>
  </si>
  <si>
    <t>247TZ</t>
  </si>
  <si>
    <t>WOS:000252106800010</t>
  </si>
  <si>
    <t>Gambaro, A; Zangrando, R; Gabrielli, P; Barbante, C; Cescon, P</t>
  </si>
  <si>
    <t>Gambaro, Andrea; Zangrando, Roberta; Gabrielli, Paolo; Barbante, Carlo; Cescon, Paolo</t>
  </si>
  <si>
    <t>Direct determination of levoglucosan at the picogram per milliliter level in Antarctic ice by high-performance liquid chromatography/electrospray ionization triple quadrupole mass spectrometry</t>
  </si>
  <si>
    <t>ANALYTICAL CHEMISTRY</t>
  </si>
  <si>
    <t>ATMOSPHERIC AEROSOLS; MONOSACCHARIDE ANHYDRIDES; GRAM LEVEL; SNOW; TRACER; POLAR; SMOKE; WATER; IDENTIFICATION; GREENLAND</t>
  </si>
  <si>
    <t>A method for the direct determination of levoglucosan at the picogram per milliliter level in less than 1 mL of Antarctic ice has been developed. Chemical analysis is performed by high-performance liquid chromatography with triple quadrupole tandem mass spectrometric detection. Levoglucosan, a specific molecular marker for biomass burning, is identified by negative ion electrospray mass spectrometry using m/z 161/113, 161/101, 161/85, and 161/71 as monitoring ion transitions. Contamination problems were carefully taken into account by adopting ultraclean procedures during sampling and sample pretreatment phases. The limit of detection is 3 pg mL(-1) (0.3 pg absolute amount injected); the repeatability ranges between 20% and 50% at a concentration of 20 and 9 pg mL(-1), respectively. This methodology allowed the direct determination of levoglucosan in a 1 mL sample of Antarctic ice with concentration ranges between 4 and 30 pg mL(-1). To our knowledge these are the first levoglucosan concentrations reported for Antarctic ice.</t>
  </si>
  <si>
    <t>[Gambaro, Andrea; Zangrando, Roberta; Gabrielli, Paolo; Barbante, Carlo; Cescon, Paolo] Univ Venice, Dept Environm Sci, I-30123 Venice, Italy; [Gambaro, Andrea; Barbante, Carlo; Cescon, Paolo] CNR, Inst Dynam Environm Proc, I-30123 Venice, Italy; [Gabrielli, Paolo] Ohio State Univ, Sch Earth Sci, Columbus, OH 43210 USA; [Gabrielli, Paolo] Ohio State Univ, Byrd Polar Res Ctr, Columbus, OH 43210 USA</t>
  </si>
  <si>
    <t>Universita Ca Foscari Venezia; Consiglio Nazionale delle Ricerche (CNR); Istituto per la Dinamica dei Processi Ambientali (IDPA-CNR); University System of Ohio; Ohio State University; University System of Ohio; Ohio State University</t>
  </si>
  <si>
    <t>Gambaro, A (corresponding author), Univ Venice, Dept Environm Sci, Ca Foscari, I-30123 Venice, Italy.</t>
  </si>
  <si>
    <t>gambaro@unive.it</t>
  </si>
  <si>
    <t>Barbante, Carlo/B-3195-2011</t>
  </si>
  <si>
    <t>Barbante, Carlo/0000-0003-4177-2288; Cescon, Paolo/0000-0003-1836-6759</t>
  </si>
  <si>
    <t>0003-2700</t>
  </si>
  <si>
    <t>1520-6882</t>
  </si>
  <si>
    <t>ANAL CHEM</t>
  </si>
  <si>
    <t>Anal. Chem.</t>
  </si>
  <si>
    <t>MAR 1</t>
  </si>
  <si>
    <t>10.1021/ac701655x</t>
  </si>
  <si>
    <t>Chemistry, Analytical</t>
  </si>
  <si>
    <t>268EG</t>
  </si>
  <si>
    <t>WOS:000253560900048</t>
  </si>
  <si>
    <t>Rodrigues, DF; Tiedje, JM</t>
  </si>
  <si>
    <t>Rodrigues, Debora Frigi; Tiedje, James M.</t>
  </si>
  <si>
    <t>Coping with our cold planet</t>
  </si>
  <si>
    <t>APPLIED AND ENVIRONMENTAL MICROBIOLOGY</t>
  </si>
  <si>
    <t>BOX RNA HELICASES; COLWELLIA-PSYCHRERYTHRAEA 34H; ANCIENT SIBERIAN PERMAFROST; ANTARCTIC SEA-ICE; ESCHERICHIA-COLI; POLYNUCLEOTIDE PHOSPHORYLASE; LOW-TEMPERATURE; SHOCK PROTEIN; SP-NOV; CSPA-FAMILY</t>
  </si>
  <si>
    <t>Michigan State Univ, NASA Astrobiol Inst, E Lansing, MI 48824 USA; Michigan State Univ, Ctr Microbial Ecol, E Lansing, MI 48824 USA</t>
  </si>
  <si>
    <t>Michigan State University; National Aeronautics &amp; Space Administration (NASA); Michigan State University</t>
  </si>
  <si>
    <t>Rodrigues, DF (corresponding author), Michigan State Univ, NASA Astrobiol Inst, 540 Plant &amp; Soil Sci Bldg, E Lansing, MI 48824 USA.</t>
  </si>
  <si>
    <t>rodri257@msu.edu</t>
  </si>
  <si>
    <t>Rodrigues, Debora F/I-9895-2014</t>
  </si>
  <si>
    <t>Rodrigues, Debora F/0000-0002-3124-1443</t>
  </si>
  <si>
    <t>AMER SOC MICROBIOLOGY</t>
  </si>
  <si>
    <t>1752 N ST NW, WASHINGTON, DC 20036-2904 USA</t>
  </si>
  <si>
    <t>0099-2240</t>
  </si>
  <si>
    <t>1098-5336</t>
  </si>
  <si>
    <t>APPL ENVIRON MICROB</t>
  </si>
  <si>
    <t>Appl. Environ. Microbiol.</t>
  </si>
  <si>
    <t>10.1128/AEM.02000-07</t>
  </si>
  <si>
    <t>275IR</t>
  </si>
  <si>
    <t>WOS:000254065600001</t>
  </si>
  <si>
    <t>Walker, TR; Grant, J; Jarvis, P</t>
  </si>
  <si>
    <t>Walker, Tony R.; Grant, Jon; Jarvis, Peter</t>
  </si>
  <si>
    <t>Approaching freshet beneath landfast ice in Kugmallit Bay on the Canadian Arctic Shelf: Evidence from sensor and ground truth data</t>
  </si>
  <si>
    <t>ARCTIC</t>
  </si>
  <si>
    <t>Mackenzie River; Kugmallit Bay; spring melt; sediment transport; landfast ice</t>
  </si>
  <si>
    <t>ANTARCTIC COASTAL ENVIRONMENT; MACKENZIE RIVER DELTA; BEAUFORT SEA; ORGANIC-CARBON; NORTHWEST-TERRITORIES; SEDIMENT TRANSPORT; FLUXES; WATER; MARINE; MATTER</t>
  </si>
  <si>
    <t>The Mackenzie River is the largest river in the North American Arctic. Its huge freshwater and sediment load impacts the Canadian Beaufort Shelf, transporting large quantities of sediment and associated organic carbon into the Arctic Ocean. The majority of this sediment transport occurs during the freshet peak flow season (May to June). Mackenzie River-Arctic Ocean coupling has been widely studied during open water seasons, but has rarely been investigated in shallow water under landfast ice in Kugmallit Bay with field-based surveys, except for those using remote sensing. We observed and measured sedimentation rates (51 g m(-2) d(-1)) and the concentrations of chlorophyll a (rnean 2.2 mu g L-1) and suspended particulate matter (8.5 mg L-1) and determined the sediment characteristics during early spring, before the breakup of landfast ice in Kugmallit Bay. We then compared these results with comparable data collected from the same site the previous summer. Comparison of organic quality in seston and trapped material demonstrated substantial seasonal differences. The subtle changes in biological and oceanographic variables beneath landfast ice that we measured using sensors and field sampling techniques suggest the onset of a spring melt occurring hundreds of kilometres farther south in the Mackenzie Basin.</t>
  </si>
  <si>
    <t>[Walker, Tony R.; Grant, Jon; Jarvis, Peter] Dalhousie Univ, Dept Oceanog, Halifax, NS B3H 4J1, Canada</t>
  </si>
  <si>
    <t>Dalhousie University</t>
  </si>
  <si>
    <t>Walker, TR (corresponding author), Dillon Consulting,137 Chain Lake Dr, Halifax, NS B3S 1B3, Canada.</t>
  </si>
  <si>
    <t>twalker@dillon.ca</t>
  </si>
  <si>
    <t>Walker BSc, MPhil, PhD, Tony R./ABA-4581-2020; Jarvis, Peter/A-3662-2010</t>
  </si>
  <si>
    <t>Walker BSc, MPhil, PhD, Tony R./0000-0001-9008-0697; Jarvis, Peter/0000-0003-2740-6740</t>
  </si>
  <si>
    <t>ARCTIC INST N AMER</t>
  </si>
  <si>
    <t>CALGARY</t>
  </si>
  <si>
    <t>UNIV OF CALGARY 2500 UNIVERSITY DRIVE NW 11TH FLOOR LIBRARY TOWER, CALGARY, ALBERTA T2N 1N4, CANADA</t>
  </si>
  <si>
    <t>0004-0843</t>
  </si>
  <si>
    <t>1923-1245</t>
  </si>
  <si>
    <t>Arctic</t>
  </si>
  <si>
    <t>283TA</t>
  </si>
  <si>
    <t>WOS:000254658200007</t>
  </si>
  <si>
    <t>Tothill, NFH; Martin, CL; Kulesa, CA; Briguglio, R</t>
  </si>
  <si>
    <t>Tothill, N. F. H.; Martin, C. L.; Kulesa, C. A.; Briguglio, R.</t>
  </si>
  <si>
    <t>Does your robot need a flamethrower? Automated astronomical instrumentation in Antarctica</t>
  </si>
  <si>
    <t>ASTRONOMISCHE NACHRICHTEN</t>
  </si>
  <si>
    <t>Workshop on Hot-Wiring the Transient Universe</t>
  </si>
  <si>
    <t>JUN 04-07, 2007</t>
  </si>
  <si>
    <t>Tucson, AZ</t>
  </si>
  <si>
    <t>atmospheric effects; infrared : general; instrumentation : miscellaneous; site testing; submillimeter</t>
  </si>
  <si>
    <t>TELESCOPE</t>
  </si>
  <si>
    <t>The Antarctic Plateau contains sites with the potential to be the best in the world for many astronomical observations. The Plateau has strong advantages in the waveband between thermal-IR and millimetre-waves, for time-based astronomy, and for adaptive optics and interferometry. In such a harsh environment, automation of instrument functions becomes very important. At entirely remote (i.e., uncrewed) locations, automated instruments require robustness above all, especially in their self-contained logistics functions (power and communications). At crewed stations, with human intervention available, automation should concentrate on increasing functionality and decreasing workload on the winterover scientists, enhancing the scientific return on a significant investment. (c) 2008 WILEY-VCH Verlag GmbH &amp; Co. KGaA, Weinheim.</t>
  </si>
  <si>
    <t>[Tothill, N. F. H.] Univ Exeter, Sch Phys, Exeter EX4 4QL, Devon, England; [Martin, C. L.] Oberlin Coll, Dept Phys &amp; Astron, Oberlin, OH 44074 USA; [Kulesa, C. A.] Univ Arizona, Steward Observ, Tucson, AZ 85721 USA; [Briguglio, R.] Univ Roma La Sapienza, Dipartimento Fis, I-00185 Rome, Italy</t>
  </si>
  <si>
    <t>University of Exeter; University System of Ohio; Oberlin College; University of Arizona; Sapienza University Rome</t>
  </si>
  <si>
    <t>Tothill, NFH (corresponding author), Univ Exeter, Sch Phys, Stocker Rd, Exeter EX4 4QL, Devon, England.</t>
  </si>
  <si>
    <t>nfht@astro.ex.ac.uk</t>
  </si>
  <si>
    <t>Tothill, Nicholas/O-2682-2019; Tothill, Nicholas/M-6379-2016</t>
  </si>
  <si>
    <t>Tothill, Nicholas/0000-0002-9931-5162; Martin, Christopher/0000-0002-8078-8859; Briguglio, Runa/0000-0002-0495-0543</t>
  </si>
  <si>
    <t>POSTFACH 101161, 69451 WEINHEIM, GERMANY</t>
  </si>
  <si>
    <t>0004-6337</t>
  </si>
  <si>
    <t>1521-3994</t>
  </si>
  <si>
    <t>ASTRON NACHR</t>
  </si>
  <si>
    <t>Astro. Nachr.</t>
  </si>
  <si>
    <t>10.1002/asna.200710941</t>
  </si>
  <si>
    <t>282CW</t>
  </si>
  <si>
    <t>WOS:000254546200029</t>
  </si>
  <si>
    <t>McConnell, JC; Jin, JJ</t>
  </si>
  <si>
    <t>McConnell, John C.; Jin, Jian Jun</t>
  </si>
  <si>
    <t>Stratospheric ozone chemistry</t>
  </si>
  <si>
    <t>ATMOSPHERE-OCEAN</t>
  </si>
  <si>
    <t>ARCTIC STRATOSPHERE; COSMIC-RAYS; WINTER; DEPLETION; CHLORINE; DENITRIFICATION; CLIMATE; MICROPHYSICS; VARIABILITY; NITROGEN</t>
  </si>
  <si>
    <t>Stratospheric ozone is important in shielding the planet from harmful solar radiation and tropospheric ozone and, while harmful to plants and humans in large amounts is also, in combination with water vapour, a major source of OH radicals which act as a detergent for many chemical species emitted into the troposphere by natural and anthropogenic emissions. This paper presents the chemistry affecting both tropospheric and stratospheric ozone with an emphasis on the stratosphere. In the decade since the last Environment Canada report on stratospheric ozone ( Wardle et al., 1997) there have been many advances in our understanding. Recent studies have shown that inorganic chlorine, which is the main contributor to polar ozone depletion and middle stratospheric ozone reduction, has started to decrease as a result of the implementation of the Montreal Protocol. During this period, Canada launched a small satellite, SCISAT-1. We discuss the chemical processes related to polar ozone loss, such as chlorine activation and denitrification, using data from SCISAT-1. These measurements and those from the Microwave Limb Sounder (MLS) instrument on the Aura satellite confirm that the chlorine deactivation in the Arctic is distinct from that in the Antarctic. Recent studies show that our understanding of the middle atmosphere bromine budget needs improvement. Using measured constraints reproduces the polar and extra-polar ozone loss better. In addition, recent studies have addressed the variation of middle atmosphere ozone with solar variability. These studies have investigated the variation of solar radiation and related energetic particle precipitation (EPP) such as auroral precipitation, solar proton events ( SPEs) as well as cosmic rays. Although there was some appreciation of these effects in the past, current three-dimensional ( 3-D) models suggest that the EPP may have a greater effect on middle atmospheric ozone than was previously realized. Stratospheric ozone loss allows the penetration of more ultraviolet (UV) radiation into the lower atmosphere, and thus may result in an increase in the oxidation state of the troposphere and affect tropospheric chemistry. Quantitative assessment of the effect of lightning on the ozone budget of the upper troposphere and lower stratosphere (UTLS) is a current challenge, while increases in the size of commercial aviation fleets have a positive radiative forcing in this region. To include the feedbacks between radiation, chemistry and dynamics associated with atmospheric change, coupled chemistry-climate models (CCMs) have been developed during the past decade. While these models still require improvement in transport and physical processes they generally predict that the Antarctic ozone layer will recover to the levels prior to 1980 by the middle of this century as a result of decreasing atmospheric chlorine and a cooling stratosphere. According to a recent semi-empirical relationship between ozone loss and Arctic meteorological conditions (Rex et al., 2004), a colder Arctic stratosphere may result in more severe ozone loss in the boreal springtime in the near future.</t>
  </si>
  <si>
    <t>[McConnell, John C.; Jin, Jian Jun] York Univ, Dept Earth &amp; Space, Toronto, ON M3J 1P3, Canada; [McConnell, John C.; Jin, Jian Jun] York Univ, Dept Sci &amp; Engn, Toronto, ON M3J 1P3, Canada</t>
  </si>
  <si>
    <t>York University - Canada; York University - Canada</t>
  </si>
  <si>
    <t>McConnell, JC (corresponding author), York Univ, Dept Earth &amp; Space, 4700 Keele St, Toronto, ON M3J 1P3, Canada.</t>
  </si>
  <si>
    <t>jcmcc@yorku.ca</t>
  </si>
  <si>
    <t>Jin, Jianjun/G-8357-2012</t>
  </si>
  <si>
    <t>CMOS-SCMO</t>
  </si>
  <si>
    <t>OTTAWA</t>
  </si>
  <si>
    <t>BOX 3211, STATION D, OTTAWA, ON K1P 6H7, CANADA</t>
  </si>
  <si>
    <t>0705-5900</t>
  </si>
  <si>
    <t>1480-9214</t>
  </si>
  <si>
    <t>ATMOS OCEAN</t>
  </si>
  <si>
    <t>Atmos.-Ocean</t>
  </si>
  <si>
    <t>10.3137/ao.460104</t>
  </si>
  <si>
    <t>Meteorology &amp; Atmospheric Sciences; Oceanography</t>
  </si>
  <si>
    <t>293YW</t>
  </si>
  <si>
    <t>WOS:000255372300005</t>
  </si>
  <si>
    <t>Zhu, RB; Liu, YS; Ma, J; Xu, H; Sun, LG</t>
  </si>
  <si>
    <t>Zhu, Renbin; Liu, Yashu; Ma, Jing; Xu, Hua; Sun, Liguang</t>
  </si>
  <si>
    <t>Nitrous oxide flux to the atmosphere from two coastal tundra wetlands in eastern Antarctica</t>
  </si>
  <si>
    <t>nitrous oxide flux; Wetland; Antarctica; peat; spatial variation; temporal variation</t>
  </si>
  <si>
    <t>N2O EMISSIONS; WATER-TABLE; FREEZE-THAW; SOIL; SNOWPACK; METHANE; RECORD; LAKE; FOREST; CO2</t>
  </si>
  <si>
    <t>Only few estimates of nitrous oxide (N2O) emissions are available from Antarctic tundra ecosystems. During the summer of 2005/2006, for the first time field measurements of N2O emissions were conducted by a static chamber technique in two coastal marshes (Wolong Marsh and Tuanjie Marsh) of eastern Antarctica. In Wolong Marsh, the N2O fluxes ranged from -20.6 to 85.6 mu g N2O-N m(-2)h(-1), -5.3 to 50.8 mu g N2O-N m(-2) h(-1) and 6.4 to 27.1 mu g N2O-N m(-2) h(-1) at the wet, mesic and dry sites, respectively. In Tuanjie Marsh, the fluxes ranged from -5.9 to 12.6 mu g N2O-N m(-2) h(-1), -3.6 to 12.1 mu g N2O-N m(-2) h(-1) and 12.8 to 59.8 mu g N2O-N m(-2) h(-1) at the ponds, shallow fens and dry tundra sites, respectively. The seasonal pattern of N2O fluxes followed the warming of the sediment/soil, indicating that the variation of ground temperatures had an important effect. on N2O emissions. The freezing-thawing cycle seemed to increase the N2O emissions from the wetlands, and water table was the major parameter for spatial variations of controlling N2O fluxes. There was a consistent diurnal pattern in the N2O emission rates from two wetlands and a good correlation with ground temperatures. The sparse data in this study hint at the potential importance of coastal tundra wetlands in the total local atmospheric NO load in eastern Antarctica. (c) 2007 Elsevier Ltd. All rights reserved.</t>
  </si>
  <si>
    <t>[Zhu, Renbin; Liu, Yashu; Sun, Liguang] Univ Sci &amp; Technol China, Inst Polar Environm, Hefei 230026, Anhui, Peoples R China; [Ma, Jing; Xu, Hua] Chinese Acad Sci, State Key Lab Soil &amp; Sustainable Agr, Inst Soil Sci, Nanjing 210008, Peoples R China</t>
  </si>
  <si>
    <t>10.1016/j.atmosenv.2007.12.016</t>
  </si>
  <si>
    <t>290ZX</t>
  </si>
  <si>
    <t>WOS:000255163200016</t>
  </si>
  <si>
    <t>Cockburn, A; Double, MC</t>
  </si>
  <si>
    <t>Cockburn, Andrew; Double, Michael C.</t>
  </si>
  <si>
    <t>Cooperatively breeding superb fairy-wrens show no facultative manipulation of offspring sex ratio despite plausible benefits</t>
  </si>
  <si>
    <t>BEHAVIORAL ECOLOGY AND SOCIOBIOLOGY</t>
  </si>
  <si>
    <t>cooperative breeding; local resource enhancement; repayment hypothesis; early bird hypothesis; avian sex ratio; Malurus</t>
  </si>
  <si>
    <t>MALURUS-CYANEUS; MATE CHOICE; BIRDS; ADJUSTMENT; MALES; CONSTRAINTS; COMPETITION; INVESTMENT; DISPERSAL; SELECTION</t>
  </si>
  <si>
    <t>We report a long-term study of offspring sex ratios in the cooperatively breeding superb fairy-wren Malurus cyaneus. Detailed study of this species had revealed a suite of potentially strong selection pressures on the sex ratio. First, females gain substantial fitness benefits from the presence of helpers; so females without male helpers would benefit from any strategy that increased the probability of recruiting help, such as overproduction of sons (local resource enhancement hypothesis), but large numbers of helper males compete among themselves, favouring the production of daughters (local resource competition). Second, daughters fledged early in the season have far greater chances of recruitment to the breeding population than late-fledged daughters, so mothers would benefit from production of daughters early in the breeding season (early bird hypothesis). Third, extra-group mate choice imposes strong sexual selection on males, suggesting that females mating with attractive sires could benefit from investing in sons (sexual selection hypothesis). However, the predictions from these and other sex ratio hypotheses were rejected. The only convincing evidence for manipulation of the sex ratio was a slight bias towards sons (11 sons to 10 daughters) that occurred regardless of context. This result does not support current theory.</t>
  </si>
  <si>
    <t>[Cockburn, Andrew; Double, Michael C.] Australian Natl Univ, Sch Bot &amp; Zool, Evolutionary Ecol Grp, Canberra, ACT 0200, Australia; [Cockburn, Andrew] Univ Cape Town, Ctr Excellence, Percy Fitzpatrick Inst African Ornithol, DST,NRF, ZA-7701 Rondebosch, South Africa; [Double, Michael C.] Australian Antarctic Div, Kingston, Tas 7050, Australia</t>
  </si>
  <si>
    <t>Australian National University; University of Cape Town; National Research Foundation - South Africa; Australian Antarctic Division</t>
  </si>
  <si>
    <t>0340-5443</t>
  </si>
  <si>
    <t>BEHAV ECOL SOCIOBIOL</t>
  </si>
  <si>
    <t>Behav. Ecol. Sociobiol.</t>
  </si>
  <si>
    <t>10.1007/s00265-007-0492-1</t>
  </si>
  <si>
    <t>Behavioral Sciences; Ecology; Zoology</t>
  </si>
  <si>
    <t>Behavioral Sciences; Environmental Sciences &amp; Ecology; Zoology</t>
  </si>
  <si>
    <t>258RU</t>
  </si>
  <si>
    <t>WOS:000252888000005</t>
  </si>
  <si>
    <t>Extending Antarctic research to new frontiers</t>
  </si>
  <si>
    <t>BULLETIN OF THE AMERICAN METEOROLOGICAL SOCIETY</t>
  </si>
  <si>
    <t>0003-0007</t>
  </si>
  <si>
    <t>1520-0477</t>
  </si>
  <si>
    <t>B AM METEOROL SOC</t>
  </si>
  <si>
    <t>Bull. Amer. Meteorol. Soc.</t>
  </si>
  <si>
    <t>286MA</t>
  </si>
  <si>
    <t>WOS:000254848800007</t>
  </si>
  <si>
    <t>Young, B</t>
  </si>
  <si>
    <t>Young, Bruce</t>
  </si>
  <si>
    <t>Footsteps on the ice: The Antarctic diaries of Stuart D. Paine, second Byrd expedition</t>
  </si>
  <si>
    <t>CANADIAN GEOGRAPHER-GEOGRAPHE CANADIEN</t>
  </si>
  <si>
    <t>[Young, Bruce] Wilfrid Laurier Univ, Waterloo, ON N2L 3C5, Canada</t>
  </si>
  <si>
    <t>Wilfrid Laurier University</t>
  </si>
  <si>
    <t>Young, B (corresponding author), Wilfrid Laurier Univ, Waterloo, ON N2L 3C5, Canada.</t>
  </si>
  <si>
    <t>0008-3658</t>
  </si>
  <si>
    <t>1541-0064</t>
  </si>
  <si>
    <t>CAN GEOGR-GEOGR CAN</t>
  </si>
  <si>
    <t>Can. Geogr.-Geogr. Can.</t>
  </si>
  <si>
    <t>SPR</t>
  </si>
  <si>
    <t>Geography</t>
  </si>
  <si>
    <t>260WL</t>
  </si>
  <si>
    <t>WOS:000253041000014</t>
  </si>
  <si>
    <t>Clark, MS; Fraser, KPP; Peck, LS</t>
  </si>
  <si>
    <t>Clark, Melody S.; Fraser, Keiron P. P.; Peck, Lloyd S.</t>
  </si>
  <si>
    <t>Antarctic marine molluscs do have an HSP70 heat shock response</t>
  </si>
  <si>
    <t>CELL STRESS &amp; CHAPERONES</t>
  </si>
  <si>
    <t>Antarctic; heat shock protein; stress; temperature; climate change</t>
  </si>
  <si>
    <t>MOLECULAR CHAPERONES; LATERNULA-ELLIPTICA; PROTEIN EXPRESSION; STRESS; GENE; TEMPERATURE; FAMILY; EVOLUTIONARY; HEAT-SHOCK-PROTEIN-70; THERMOTOLERANCE</t>
  </si>
  <si>
    <t>The success of any organism depends not only on niche adaptation but also the ability to survive environmental perturbation from homeostasis, a situation generically described as stress. Although species-specific mechanisms to combat stress have been described, the production of heat shock proteins (HSPs), such as HSP70, is universally described across all taxa. Members of the HSP70 gene family comprising the constitutive (HSC70) and inducible (HSP70) members, plus GRP78 (glucose-regulated protein, 78 kDa), a related HSP70 family member, were cloned using degenerate polymerase chain reaction (PCR) from two evolutionary divergent Antarctic marine molluscs (Laternula elliptica and Nacella concinna), a bivalve and a gastropod, respectively. The expression of the HSP70 family members was surveyed via quantitative PCR after an acute 2-h heat shock experiment. Both species demonstrated significant up-regulation of HSP70 gene expression in response to increased temperatures. However, the temperature level at which these responses were induced varied with the species (+6-8C for L. elliptica and +8-10C for N. concinna) compared to their natural environmental temperature). L. elliptica also showed tissue-specific expression of the genes under study. Previous work on Antarctic fish has shown that they lack the classical heat shock response, with the inducible form of HSP70 being permanently expressed with an expression not further induced under higher temperature regimes. This study shows that this is not the case for other Antarctic animals, with the two molluscs showing an inducible heat shock response, at a level probably set during their temperate evolutionary past.</t>
  </si>
  <si>
    <t>[Clark, Melody S.; Fraser, Keiron P. P.; Peck, Lloyd S.] British Antarctic Survey, Nat Environm Res Council, Cambridge CB3 0ET, England</t>
  </si>
  <si>
    <t>Clark, MS (corresponding author), British Antarctic Survey, Nat Environm Res Council, Madingley Rd, Cambridge CB3 0ET, England.</t>
  </si>
  <si>
    <t>mscl@bas.ac.uk</t>
  </si>
  <si>
    <t>; Clark, Melody/D-7371-2014</t>
  </si>
  <si>
    <t>Fraser, Keiron/0000-0001-5491-8376; Clark, Melody/0000-0002-3442-3824</t>
  </si>
  <si>
    <t>Natural Environment Research Council [dml011000, bas010015] Funding Source: researchfish; NERC [bas010015, dml011000] Funding Source: UKRI</t>
  </si>
  <si>
    <t>1355-8145</t>
  </si>
  <si>
    <t>1466-1268</t>
  </si>
  <si>
    <t>CELL STRESS CHAPERON</t>
  </si>
  <si>
    <t>Cell Stress Chaperones</t>
  </si>
  <si>
    <t>10.1007/s12192-008-0014-8</t>
  </si>
  <si>
    <t>Cell Biology</t>
  </si>
  <si>
    <t>275QV</t>
  </si>
  <si>
    <t>Green Accepted, Green Published, hybrid</t>
  </si>
  <si>
    <t>WOS:000254087600005</t>
  </si>
  <si>
    <t>Clark, MS; Geissler, P; Waller, C; Fraser, KPP; Barnes, DKA; Peck, LS</t>
  </si>
  <si>
    <t>Clark, Melody S.; Geissler, Paul; Waller, Catherine; Fraser, Keiron P. P.; Barnes, David K. A.; Peck, Lloyd S.</t>
  </si>
  <si>
    <t>Low heat shock thresholds in wild Antarctic inter-tidal limpets (Nacella concinna)</t>
  </si>
  <si>
    <t>Antarctic; heat shock protein; stress; temperature; inter-tidal</t>
  </si>
  <si>
    <t>PROTEIN EXPRESSION; TEMPERATURE; TOLERANCE; STRESS; LIMITS; PATTERNS</t>
  </si>
  <si>
    <t>Heat shock proteins (HSPs) are a family of genes classically used to measure levels of organism stress. We have previously identified two HSP70 genes (HSP70A and HSP70B) in sub-tidal populations of the Antarctic limpet (Nacella concinna). These genes are up-regulated in response to increased seawater temperatures of 15C or more during acute heat shock experiments, temperatures that have very little basis when considering the current Antarctic ecology of these animals. Therefore, the question was posed as to whether these animals could express HSP70 genes when subjected to more complex environmental conditions, such as those that occur in the inter-tidal. Inter-tidal limpets were collected on three occasions in different weather conditions at South Cove, Rothera Point, over a complete tidal cycle, and the expression levels of the HSP70 genes were measured. Both genes showed relative up-regulation of gene expression over the period of the tidal cycle. The average foot temperature of these animals was 3.3C, far below that of the acute heat shock experiments. These experiments demonstrate that the temperature and expression levels of HSP production in wild animals cannot be accurately extrapolated from experimentally induced treatments, especially when considering the complexity of stressors in the natural environment. However, experimental manipulation can provide molecular markers for identifying stress in Antarctic molluscs, provided it is accompanied by environmental validation, as demonstrated here.</t>
  </si>
  <si>
    <t>[Clark, Melody S.; Geissler, Paul; Waller, Catherine; Fraser, Keiron P. P.; Barnes, David K. A.; Peck, Lloyd S.] British Antarctic Survey, Nat Environm Res Council, Cambridge CB3 0ET, England</t>
  </si>
  <si>
    <t>Clark, Melody/D-7371-2014</t>
  </si>
  <si>
    <t>Clark, Melody/0000-0002-3442-3824; Fraser, Keiron/0000-0001-5491-8376; Waller, Catherine L/0000-0002-0836-3223</t>
  </si>
  <si>
    <t>10.1007/s12192-008-0015-7</t>
  </si>
  <si>
    <t>hybrid, Green Published, Green Accepted</t>
  </si>
  <si>
    <t>WOS:000254087600006</t>
  </si>
  <si>
    <t>Guo, JX; Sun, B; Tian, G; Wang, BB; Mang, XP</t>
  </si>
  <si>
    <t>Guo Jing-Xue; Sun Bo; Tian Gang; Wang Bang-Bing; Mang Xiang-Pei</t>
  </si>
  <si>
    <t>Research on electromagnetic inductive measurement of sea-ice thickness in Antarctic Prydz bay</t>
  </si>
  <si>
    <t>CHINESE JOURNAL OF GEOPHYSICS-CHINESE EDITION</t>
  </si>
  <si>
    <t>Antarctic; sea-ice thickness; electromagnetic measurements; climate change</t>
  </si>
  <si>
    <t>The paper presents a shipborne electromagnetic induction detection system of sea-ice thickness consists of EM31-ICE electromagnetic instrument and laser altimeter. The system works according to the different electrical properties of sea-ice and seawater. The electromagnetic induction technology is used to obtain distance between the system and the bottom of sea-Ice while the laser altimeter is employed to measure the roughness of ice surfaces and the distance between the system and the top of ice. A comparison of such data enables to achieve the measurement of sea-ice thickness. Analysis of the data obtained from Antarctic field and comparison to the value of the Ice thickness from drilling allows a quantitative analysis of the height effect exists between the system and ice surface, construction of a correction formula of the measured value with height, and systematic calibration of the shipborne data. Comparison of ice thickness data acquired by the electromagnetic system to SCAR ASPeCt data indicates that the system is capable of achieving sea-ice thickness data with high precision, and satisfying the requirement for large-scale survey at polar zone.</t>
  </si>
  <si>
    <t>[Guo Jing-Xue; Sun Bo; Mang Xiang-Pei] Polar Res Inst China, Shanghai 200136, Peoples R China; [Tian Gang; Wang Bang-Bing] Zhejiang Univ, Dept Earth Sci, Hangzhou 310027, Peoples R China</t>
  </si>
  <si>
    <t>Polar Research Institute of China; Zhejiang University</t>
  </si>
  <si>
    <t>Guo, JX (corresponding author), Polar Res Inst China, Shanghai 200136, Peoples R China.</t>
  </si>
  <si>
    <t>guojingXue@pric.gov.cn</t>
  </si>
  <si>
    <t>0001-5733</t>
  </si>
  <si>
    <t>CHINESE J GEOPHYS-CH</t>
  </si>
  <si>
    <t>Chinese J. Geophys.-Chinese Ed.</t>
  </si>
  <si>
    <t>280JG</t>
  </si>
  <si>
    <t>WOS:000254422000033</t>
  </si>
  <si>
    <t>Ridley, J; Lowe, J; Simonin, D</t>
  </si>
  <si>
    <t>Ridley, Jeff; Lowe, Jason; Simonin, David</t>
  </si>
  <si>
    <t>The demise of Arctic sea ice during stabilisation at high greenhouse gas concentrations</t>
  </si>
  <si>
    <t>ATLANTIC WATER; CLIMATE-CHANGE; OCEAN; MODEL; TRANSPORTS; IMPACT; NORTH</t>
  </si>
  <si>
    <t>A climate model experiment was conducted using the HadCM3 climate model and a scenario in which the atmospheric CO2 concentration was increased over 70 years from pre-industrial concentrations to 4 times this level and then stabilised for more than a 1,000 years. During the period of stabilisation the global atmospheric surface temperatures continued to rise as the deep oceans adjusted towards a new equilibrium. However, even after 1,000 years this new equilibrium had not been reached. During the first 600 years, Arctic and Antarctic winter sea ice thickness and area covered declined with a significant impact on the global radiation budget. After this period the area of the Arctic covered by sea ice entered a 150 years period during which time it underwent a series of oscillations. Following the oscillation the centre of the Arctic basin became ice free throughout the year. A sensitivity experiment demonstrates that although the sea ice extent can be greatly reduced through the artificial heating of the mixed layer, prior to the onset of the oscillatory phase the ice recovers over 15 years. Understanding the causes of this oscillatory phase may elucidate the mechanisms of variability in the Arctic in the present climate and in future policy relevant scenarios. We have investigated the atmospheric and oceanic forcing on the ice during the oscillatory phase, and find that the behaviour is linked to a redistribution of Arctic Ocean heat stores.</t>
  </si>
  <si>
    <t>[Ridley, Jeff; Lowe, Jason] Met Off, Exeter, Devon, England</t>
  </si>
  <si>
    <t>Met Office - UK</t>
  </si>
  <si>
    <t>Ridley, J (corresponding author), Met Off, Exeter, Devon, England.</t>
  </si>
  <si>
    <t>jeff.ridley@metoffice.gov.uk</t>
  </si>
  <si>
    <t>Lowe, Jason/GQI-4036-2022</t>
  </si>
  <si>
    <t>Simonin, David/0000-0002-2623-3828</t>
  </si>
  <si>
    <t>10.1007/s00382-007-0291-4</t>
  </si>
  <si>
    <t>252AX</t>
  </si>
  <si>
    <t>WOS:000252418300001</t>
  </si>
  <si>
    <t>Aldea, C; Olabarria, C; Troncoso, JS</t>
  </si>
  <si>
    <t>Aldea, Cristian; Olabarria, Celia; Troncoso, Jesus S.</t>
  </si>
  <si>
    <t>Bathymetric zonation and diversity gradient of gastropods and bivalves in West Antarctica from the South Shetland Islands to the Bellingshausen Sea</t>
  </si>
  <si>
    <t>bivalves; gastropods; zonation patterns; diversity; deep sea; West Antarctica; South Shetland Islands; Bellingshausen Sea</t>
  </si>
  <si>
    <t>KING-GEORGE-ISLAND; DEEP-SEA; SPECIES-DIVERSITY; BENTHIC FAUNA; QUANTITATIVE INVESTIGATIONS; PRESSURE TOLERANCES; PORCUPINE SEABIGHT; BRANSFIELD STRAIT; ADMIRALTY BAY; ABYSSAL-PLAIN</t>
  </si>
  <si>
    <t>Depth-related zonation and diversity patterns are important topics in the study of deep-sea fauna, at both species and assemblage levels. These patterns may be attributed to complex and combined physical and/or biological factors. The lack of information about the West Antarctic deep sea is an important handicap to understanding the global-scale benthic diversity patterns. Detailed studies of the bathymetric distributions and diversity of deep-sea species in the Antarctic are needed to elucidate the factors contributing to global-scale benthic patterns. This study, based on a large data set, examined the bathymetric distribution, patterns of zonation and diversity-depth trends of gastropods and bivalves in West Antarctica, from the South Shetland Islands to the Bellingshausen Sea, a very poorly known area. A total of 647 individuals of gastropods belonging to 82 species and a total of 2934 individuals of bivalves belonging to 52 species were collected. Most gastropods showed discrete depth distributions, whereas most bivalves showed broader depth ranges. Replacement of species with depth was more gradual for bivalves than gastropods. Nevertheless.. three bathymetric boundaries could be recognized: (1) a continental shelf zone from 0 to 400 in with a gradual rate of succession, (2) an upper slope zone from 400 to 800 in and (3) a lower slope zone from 800 to 2000 in, extending to 3300 in for bivalves. Diversity patterns were complex for both groups with no significant trends with depth. (c) 2007 Elsevier Ltd. All rights reserved.</t>
  </si>
  <si>
    <t>[Aldea, Cristian; Olabarria, Celia; Troncoso, Jesus S.] Univ Vigo, Fac Ciencias Mar, Dept Ecol &amp; Biol Anim, Vigo 36310, Spain; [Aldea, Cristian] Fdn Ctr Estudios Cuaternario Fuego Patagonia &amp; An, Punta Arenas, Chile</t>
  </si>
  <si>
    <t>Universidade de Vigo</t>
  </si>
  <si>
    <t>Aldea, C (corresponding author), Univ Vigo, Fac Ciencias Mar, Dept Ecol &amp; Biol Anim, Campus Lagoas Marcosende, Vigo 36310, Spain.</t>
  </si>
  <si>
    <t>cristian-aldea@uvigo.es; colabarria@uvigo.es; troncoso@uvigo.es</t>
  </si>
  <si>
    <t>Olabarria, Celia/ABB-5554-2020; Aldea, Cristian/J-5391-2013; Troncoso, Jesus/L-1823-2017</t>
  </si>
  <si>
    <t>Olabarria, Celia/0000-0001-8332-5924; Troncoso, Jesus/0000-0002-7305-6879; Aldea, Cristian/0000-0002-4473-6509</t>
  </si>
  <si>
    <t>10.1016/j.dsr.2007.12.002</t>
  </si>
  <si>
    <t>284GF</t>
  </si>
  <si>
    <t>WOS:000254694200008</t>
  </si>
  <si>
    <t>Provan, J; Booth, D; Todd, NP; Beatty, GE; Maggs, CA</t>
  </si>
  <si>
    <t>Provan, Jim; Booth, David; Todd, Nicola P.; Beatty, Gemma E.; Maggs, Christine A.</t>
  </si>
  <si>
    <t>Tracking biological invasions in space and time:: elucidating the invasive history of the green alga Codium fragile using old DNA</t>
  </si>
  <si>
    <t>DIVERSITY AND DISTRIBUTIONS</t>
  </si>
  <si>
    <t>biological invasions; invasive species; Codium fragile; herbarium samples; cryptic taxa</t>
  </si>
  <si>
    <t>GENETIC DIVERSITY; RHODOPHYTA; ATLANTIC; PHYLOGEOGRAPHY; CHLOROPHYTA; SEQUENCES; SPECIMENS; INTRODUCTIONS; BRYOPSIDALES; CERAMIALES</t>
  </si>
  <si>
    <t>With the advent of 'ancient DNA' studies on preserved material of extant and extinct species, museums and herbaria now represent an important although still underutilized resource in molecular ecology. The ability to obtain sequence data from archived specimens can reveal the recent history of cryptic species and introductions. We have analysed extant and herbarium samples of the highly invasive green alga Codium fragile, many over 100 years old, to identify cryptic accessions of the invasive strain known as C. fragile ssp. tomentosoides, which can be identified by a unique haplotype. Molecular characterization of specimens previously identified as native in various regions shows that the invasive tomentosoides strain has been colonizing new habitats across the world for longer than records indicate, in some cases nearly 100 years before it was noticed. It can now be found in the ranges of all the other native haplotypes detected, several of which correspond to recognized subspecies. Within regions in the southern hemisphere there was a greater diversity of haplotypes than in the northern hemisphere, probably as a result of dispersal by the Antarctic Circumpolar Current. The findings of this study highlight the importance of herbaria in preserving contemporaneous records of invasions as they occur, especially when invasive taxa are cryptic.</t>
  </si>
  <si>
    <t>[Provan, Jim; Booth, David; Todd, Nicola P.; Beatty, Gemma E.; Maggs, Christine A.] Queens Univ Belfast, Sch Biol Sci, Belfast BT9 7BL, Antrim, North Ireland</t>
  </si>
  <si>
    <t>Queens University Belfast</t>
  </si>
  <si>
    <t>Provan, J (corresponding author), Queens Univ Belfast, Sch Biol Sci, 97 Lisburn Rd, Belfast BT9 7BL, Antrim, North Ireland.</t>
  </si>
  <si>
    <t>J.Provan@qub.ac.uk</t>
  </si>
  <si>
    <t>Maggs, Anthony C/F-2947-2015</t>
  </si>
  <si>
    <t>Maggs, Christine/0000-0003-0495-7064; Booth, David/0000-0002-8256-1412</t>
  </si>
  <si>
    <t>1366-9516</t>
  </si>
  <si>
    <t>1472-4642</t>
  </si>
  <si>
    <t>DIVERS DISTRIB</t>
  </si>
  <si>
    <t>Divers. Distrib.</t>
  </si>
  <si>
    <t>10.1111/j.1472-4642.2007.00420.x</t>
  </si>
  <si>
    <t>259UN</t>
  </si>
  <si>
    <t>WOS:000252966500020</t>
  </si>
  <si>
    <t>Bromwich, DH; Wang, SH</t>
  </si>
  <si>
    <t>Bromwich, David H.; Wang, Sheng-Hung</t>
  </si>
  <si>
    <t>A review of the temporal and spatial variability of Arctic and Antarctic atmospheric circulation based upon ERA-40</t>
  </si>
  <si>
    <t>DYNAMICS OF ATMOSPHERES AND OCEANS</t>
  </si>
  <si>
    <t>general circulation; polar meteorology; arctic zone; antarctic zone; teleconnections; moisture transfer</t>
  </si>
  <si>
    <t>SOUTH AMERICAN MODES; SEA-LEVEL PRESSURE; GEOPOTENTIAL HEIGHT; NCEP-NCAR; SEMIANNUAL OSCILLATION; ANNULAR MODE; PART I; HEMISPHERE; PRECIPITATION; TEMPERATURE</t>
  </si>
  <si>
    <t>A survey of the spatial and temporal behavior of the atmospheric general circulation as it relates to both polar regions is presented. The review is based on the European Centre for Medium-Range Weather Forecasts (ECMWF) 40-year reanalysis (ERA-40), updated using ECMWF operational analyses. The analysis spans 1960-2005 in the Northern Hemisphere, but is restricted to 1979-2005 in the Southern Hemisphere because of difficulties experienced by ERA-40 prior to the modem satellite era. The seasonal cycle of atmospheric circulation is illustrated by focusing on winter and summer. The huge circulation contrasts between the land-dominated Northern Hemisphere and the ocean-dominated Southern Hemisphere stand out. The intensification of the North Atlantic Oscillation/Northern Annular Mode and the Southern Annular Mode in DJF is highlighted and likely due to warming of the tropical Indian Ocean. The Arctic frontal zone during northern summer and the semi-annual oscillation throughout the year in the Southern Hemisphere are prominent features of the high latitude circulation in the respective hemispheres. Rotated principal component analysis (RPCA) is used to describe the primary modes of temporal variability affecting both polar regions, especially the links with the tropical forcing. The North Atlantic Oscillation is a key modulator of the atmospheric circulation in the North Atlantic sector, especially in winter, and is the dominant control on the moisture transport into the Arctic Basin. The Pacific-South American teleconnection patterns are primary factors in the high southern latitude circulation variability throughout the year, especially in the Pacific sector of Antarctica where the majority of moisture transport into the continent occurs. (C) 2008 Elsevier B.V. All rights reserved.</t>
  </si>
  <si>
    <t>[Bromwich, David H.; Wang, Sheng-Hung] Ohio State Univ, Byrd Polar Res Ctr, Polar Meteorol Grp, Columbus, OH 43210 USA; [Bromwich, David H.] Ohio State Univ, Dept Geog, Atmospher Sci Program, Columbus, OH 43210 USA</t>
  </si>
  <si>
    <t>University System of Ohio; Ohio State University; University System of Ohio; Ohio State University</t>
  </si>
  <si>
    <t>Bromwich, DH (corresponding author), Ohio State Univ, Byrd Polar Res Ctr, Polar Meteorol Grp, 1090 Carmack Rd, Columbus, OH 43210 USA.</t>
  </si>
  <si>
    <t>bromwich@polarnet1.mps.ohio-state.edu</t>
  </si>
  <si>
    <t>0377-0265</t>
  </si>
  <si>
    <t>1872-6879</t>
  </si>
  <si>
    <t>DYNAM ATMOS OCEANS</t>
  </si>
  <si>
    <t>Dyn. Atmos. Oceans</t>
  </si>
  <si>
    <t>10.1016/j.dynatmoce.2007.09.001</t>
  </si>
  <si>
    <t>Geochemistry &amp; Geophysics; Meteorology &amp; Atmospheric Sciences; Oceanography</t>
  </si>
  <si>
    <t>300RN</t>
  </si>
  <si>
    <t>WOS:000255843000006</t>
  </si>
  <si>
    <t>Martínez-Méndez, G; Zahn, R; Hall, IR; Pena, LD; Cacho, I</t>
  </si>
  <si>
    <t>Martinez-Mendez, Genia; Zahn, Rainer; Hall, Ian R.; Pena, Leopoldo D.; Cacho, Isabel</t>
  </si>
  <si>
    <t>345,000-year-long multi-proxy records off South Africa document variable contributions of northern versus southern component water to the deep South Atlantic</t>
  </si>
  <si>
    <t>Meridional Overturning Circulation; paleocurrent speed; paleocirculation; stable isotopes; trace elements; sortable silt</t>
  </si>
  <si>
    <t>BENTHIC FORAMINIFERAL CD/CA; GLACIAL OCEAN CIRCULATION; CARBON-ISOTOPE; THERMOHALINE CIRCULATION; SORTABLE SILT; DELTA-C-13; VARIABILITY; EXCHANGE; CYCLE; SEA</t>
  </si>
  <si>
    <t>Millennial to multi-centennial benthic foraminiferal stable isotope, sortable silt mean grain size ((SS) over bar) and benthic foraminiferal Cd/Ca records are presented for core MD96-2080 from 2488 m water depth at the western Agulhas Bank Slope off South Africa. The data demonstrate the interplay between Northern and Southern Component Waters as the Atlantic Meridional Overturning Circulation (MOC) shifted between glacial and interglacial modes. During early phases of Marine Isotope Stages (MIS) 6 and 8, the Atlantic MOC was little different from its interglacial mode. Benthic foraminiferal delta C-13 modulation during these stages can be explained by mean-ocean delta C-13 changes, while, only subtle benthic foraminiferal Cd/Ca increases indicate a continued influence of Northern Component Waters (NCW). Later glacial stages are characterized by a progressive incursion of nutrient-enriched waters presumably a mixture of Upper and Lower Southern Component Waters (SCW). Maximum (SS) over bar values during late glacial ventilation minima suggest increased near-bottom flow speeds. The combined ventilation and flow-speed pattern indicates an enhanced influence of SCW, most likely linked with a northward migration of the Antarctic Circumpolar Current (ACC) which progressively decreased the influence of NCW at site MD96-2080. Peak-maximum seawater Cd concentrations (Cd-sw, derived from benthic foraminiferal Cd/Ca) overlap in time with increased deposition of ice-rafteddebris (IRD) in the North Atlantic and plot outside the delta C-13/Cd-sw field in the South Atlantic. The anomalies conceivably are the South Atlantic equivalents of peak Cd-sw maxima associated with Heinrich-type events in the North Atlantic and reflect a substantially reduced Atlantic MOC. (C) 2007 Elsevier B.V. All rights reserved.</t>
  </si>
  <si>
    <t>[Martinez-Mendez, Genia; Zahn, Rainer] Univ Autonoma Barcelona, Inst Ciencia &amp; Tecnol Ambientals, ICTA, E-08193 Bellaterra, Spain; [Martinez-Mendez, Genia; Zahn, Rainer] Dept Geol, E-08193 Bellaterra, Spain; [Hall, Ian R.] Cardiff Univ, Sch Earth Ocean &amp; Planetary Sci, Cardiff CF10 3YE, S Glam, Wales; [Pena, Leopoldo D.; Cacho, Isabel] Univ Barcelona, GRC Geociencies Marines, Dept Estratig, E-08028 Barcelona, Spain</t>
  </si>
  <si>
    <t>Autonomous University of Barcelona; Cardiff University; University of Barcelona</t>
  </si>
  <si>
    <t>Martínez-Méndez, G (corresponding author), Univ Autonoma Barcelona, Inst Ciencia &amp; Tecnol Ambientals, ICTA, Edifici Cn Campus UAB, E-08193 Bellaterra, Spain.</t>
  </si>
  <si>
    <t>gema.martinez@uab.cat; rainer.zahn@uab.cat; hall@cardiff.ac.uk</t>
  </si>
  <si>
    <t>Cacho, Isabel/H-4402-2013; Cacho, Isabel/AAX-2610-2021; Pena, Leopoldo/B-8140-2013; Méndez, Gema Martínez/AAB-2245-2020; Hall, Ian/C-2755-2009</t>
  </si>
  <si>
    <t>Cacho, Isabel/0000-0002-6512-0770; Cacho, Isabel/0000-0002-6512-0770; Pena, Leopoldo/0000-0001-6414-6293; Méndez, Gema Martínez/0000-0001-7950-6837; Hall, Ian/0000-0001-6960-1419</t>
  </si>
  <si>
    <t>Natural Environment Research Council [NER/A/S/2001/00560] Funding Source: researchfish</t>
  </si>
  <si>
    <t>10.1016/j.epsl.2007.11.050</t>
  </si>
  <si>
    <t>284CX</t>
  </si>
  <si>
    <t>WOS:000254684000027</t>
  </si>
  <si>
    <t>Hall, K; Guglielmin, M; Strini, A</t>
  </si>
  <si>
    <t>Hall, Kevin; Guglielmin, Mauro; Strini, Andrea</t>
  </si>
  <si>
    <t>Weathering of granite in Antarctica: II. Thermal stress at the grain scale</t>
  </si>
  <si>
    <t>weathering; granular disintegration; temperature monitoring; thermal stresses; granite; Antarctica</t>
  </si>
  <si>
    <t>NORTHERN VICTORIA LAND; FREEZE-THAW EVENTS; SURFACE-ROUGHNESS; ROCK TEMPERATURES; ISLAND</t>
  </si>
  <si>
    <t>Granular disintegration has long been recognized and referred to in weathering texts from all environments, including the Antarctic. Despite this universal identification and referral, few to no data exist regarding thermal conditions at this scale and causative mechanisms remain little more than conjecture. Here, as part of a larger weathering study, thermal data of individual grains (using infrared thermometry and ultra-fine thermocouples) composing a coarse granite, as well as the thermal gradients in the outer 10 cm (using thermistors), were collected from a north-facing exposure. Measurements were also made regarding the surface roughness of the rock. Based on recorded temperatures, the nature of the rock surface and the properties of the minerals, an argument is made for complex stress fields that lead to granular disintegration. Mineral to mineral temperature differences found to occur were, in part, due to the changing exposure to solar radiation through the day (and through seasons). Because the thermal conductivity and the coefficient of thermal expansion of quartz are not equal in all directions, coupled with the vagaries of heating, this leads to inter-granular stresses. Although fracture toughness increases with a decrease in temperature, it is suggested that the tensile forces resulting from falling temperatures are able to exceed this and produce granular disassociation. The lack of equality with respect to crystal axis of both thermal conductivity and expansion in quartz further exacerbates the propensity to failure. Grain size and porosity also influence the thermal stresses and may help explain why some grains are held in place despite disassociation near the surface. While the data presented here appear to beg more questions than providing answers, they do provide a basis for better, more detailed studies of this important weathering scale. Copyright (C) 2007 John Wiley &amp; Sons, Ltd.</t>
  </si>
  <si>
    <t>[Hall, Kevin] Univ Pretoria, Dept Geog Geoinformat &amp; Meteorol, ZA-0002 Pretoria, South Africa; [Guglielmin, Mauro] Insubria Univ, Fac Sci, Varese, Italy; [Strini, Andrea] Univ Studi Milano, Dipartimento Sci Terra, Milan, Italy</t>
  </si>
  <si>
    <t>University of Pretoria; University of Insubria; University of Milan</t>
  </si>
  <si>
    <t>Hall, K (corresponding author), Univ No British Columbia, Geog Program, 3333 Univ Way, Prince George, BC V2N 4Z9, Canada.</t>
  </si>
  <si>
    <t>hall@unbc.ca</t>
  </si>
  <si>
    <t>10.1002/esp.1617</t>
  </si>
  <si>
    <t>282VA</t>
  </si>
  <si>
    <t>WOS:000254594100010</t>
  </si>
  <si>
    <t>Thatje, S; Hillenbrand, CD; Mackensen, A; Larter, R</t>
  </si>
  <si>
    <t>Thatje, Sven; Hillenbrand, Claus-Dieter; Mackensen, Andreas; Larter, Rob</t>
  </si>
  <si>
    <t>Life hung by a thread: Endurance of antarctic fauna in glacial periods</t>
  </si>
  <si>
    <t>ECOLOGY</t>
  </si>
  <si>
    <t>Antarctic; climate; ecology; ecosystem evolution; glaciology; physiology; polar</t>
  </si>
  <si>
    <t>SEA-ICE EXTENT; EAST ANTARCTICA; SOUTHERN-OCEAN; ELEPHANT SEAL; ROSS SEA; CONTINENTAL-MARGIN; LATE PLEISTOCENE; CLIMATE-CHANGE; ANCIENT DNA; HOLOCENE</t>
  </si>
  <si>
    <t>Today, Antarctica exhibits some of the harshest environmental conditions for life on Earth. During the last glacial period, Antarctic terrestrial and marine life was challenged by even more extreme environmental conditions. During the present interglacial period, polar life in the Southern Ocean is sustained mainly by large-scale primary production. We argue that during the last glacial period, faunal populations in the Antarctic were limited to very few areas of local marine productivity (polynyas), because complete, multiannual sea-ice and ice shelf coverage shut down most of the Southern Ocean productivity within today's seasonal sea-ice zone. Both marine sediments containing significant numbers of planktonic and benthic foraminifera and fossil bird stomach oil deposits in the adjacent Antarctic hinterland provide indirect evidence for the existence of polynyas during the last glacial period. We advocate that the existence of productive oases in the form of polynyas during glacial periods was essential for the survival of marine and most higher-trophic terrestrial fauna. Reduced to such refuges, much of today's life in the high Antarctic realm might have hung by a thread during the last glacial period, because limited resources available to the food web restricted the abundance and productivity of both Antarctic terrestrial and marine life.</t>
  </si>
  <si>
    <t>[Thatje, Sven] Univ Southampton, Sch Ocean &amp; Earth Sci, Natl Oceanog Ctr, Southampton SO14 3ZH, Hants, England; [Hillenbrand, Claus-Dieter; Larter, Rob] British Antarctic Survey, Geol Sci Div, Cambridge CB3 0ET, England; [Mackensen, Andreas] Alfred Wegener Inst Polar &amp; Marine Res, D-27568 Bremerhaven, Germany</t>
  </si>
  <si>
    <t>NERC National Oceanography Centre; University of Southampton; UK Research &amp; Innovation (UKRI); Natural Environment Research Council (NERC); NERC British Antarctic Survey; Helmholtz Association; Alfred Wegener Institute, Helmholtz Centre for Polar &amp; Marine Research</t>
  </si>
  <si>
    <t>Thatje, S (corresponding author), Univ Southampton, Sch Ocean &amp; Earth Sci, Natl Oceanog Ctr, European Way, Southampton SO14 3ZH, Hants, England.</t>
  </si>
  <si>
    <t>svth@noc.soton.ac.uk</t>
  </si>
  <si>
    <t>; Mackensen, Andreas/J-8600-2013</t>
  </si>
  <si>
    <t>Larter, Robert/0000-0002-8414-7389; Mackensen, Andreas/0000-0002-5024-4455</t>
  </si>
  <si>
    <t>0012-9658</t>
  </si>
  <si>
    <t>1939-9170</t>
  </si>
  <si>
    <t>10.1890/07-0498.1</t>
  </si>
  <si>
    <t>284AS</t>
  </si>
  <si>
    <t>WOS:000254678200010</t>
  </si>
  <si>
    <t>Sutherland, RA; Tack, FMG</t>
  </si>
  <si>
    <t>Sutherland, Ross A.; Tack, Filip M. G.</t>
  </si>
  <si>
    <t>Extraction of labile metals from solid media by dilute hydrochloric acid</t>
  </si>
  <si>
    <t>ENVIRONMENTAL MONITORING AND ASSESSMENT</t>
  </si>
  <si>
    <t>BCR sequential extraction; grain size partitioning; Hawaii; road-deposited sediment</t>
  </si>
  <si>
    <t>ANTARCTIC MARINE-SEDIMENTS; ROAD-DEPOSITED SEDIMENTS; SEQUENTIAL EXTRACTION; HEAVY-METALS; SINGLE EXTRACTIONS; AQUATIC SEDIMENTS; NW SPAIN; LEAD; CONTAMINATION; FRACTIONATION</t>
  </si>
  <si>
    <t>Extraction of labile metals from solid media is environmentally more meaningful than a total digestion. A variety of reagents have been introduced in the literature, but dilute HCl has received the greatest attention. We compare metal concentrations liberated by a dilute HCl leach with the sum of the 3-step optimized (standardized) BCR sequential extraction procedure. This is the first study to compare these procedures over a range of grain sizes. Road-deposited sediments from 10 sites in Honolulu were fractionated into six grain size classes. Aliquots of individual fractions were digested with dilute HCl, the 3-step BCR procedure ('labile'), and a 4-acid (total) procedure. Results indicated that the weighted labile concentrations of Al, Cu, Fe, Mn, Ni, Pb and Zn were statistically greater than those from the dilute HCl leach. However, regression analysis indicated strong statistically significant relationships between the two partial extraction procedures for all metals. On a whole-sample basis, the toxicity classifications for anthropogenic-enhanced metals (Cu, Pb and Zn) were similar between extractions. Taken together, results suggest that the application of dilute HCl to solid media provides a rapid, cost-effective, and environmentally meaningful approach for contaminant monitoring.</t>
  </si>
  <si>
    <t>[Sutherland, Ross A.] Univ Hawaii, Dept Geog, Geomorphol Lab, Honolulu, HI 96822 USA; [Tack, Filip M. G.] Univ Ghent, Lab Analyt Chem &amp; Appl Ecochem, B-9000 Ghent, Belgium</t>
  </si>
  <si>
    <t>University of Hawaii System; Ghent University</t>
  </si>
  <si>
    <t>Sutherland, RA (corresponding author), Univ Hawaii, Dept Geog, Geomorphol Lab, 2424 Maile Way, Honolulu, HI 96822 USA.</t>
  </si>
  <si>
    <t>Sutherla@Hawaii.edu</t>
  </si>
  <si>
    <t>Tack, Filip M G/0000-0002-6976-7862</t>
  </si>
  <si>
    <t>0167-6369</t>
  </si>
  <si>
    <t>ENVIRON MONIT ASSESS</t>
  </si>
  <si>
    <t>Environ. Monit. Assess.</t>
  </si>
  <si>
    <t>10.1007/s10661-007-9748-5</t>
  </si>
  <si>
    <t>Environmental Sciences</t>
  </si>
  <si>
    <t>258MX</t>
  </si>
  <si>
    <t>WOS:000252873100011</t>
  </si>
  <si>
    <t>Hale, RC; Kim, SL; Harvey, E; La Guardia, MJ; Mainor, TM; Bush, EO; Jacobs, EM</t>
  </si>
  <si>
    <t>Hale, Robert C.; Kim, Stacy L.; Harvey, Ellen; La Guardia, Mark J.; Mainor, T. Matt; Bush, Elizabeth O.; Jacobs, Elizabeth M.</t>
  </si>
  <si>
    <t>Antarctic research bases: Local sources of polybrominated diphenlyl ether (PBDE) flame retardants</t>
  </si>
  <si>
    <t>WASTE-WATER CONTAMINANTS; MCMURDO-STATION; TREATMENT-PLANT; PESTICIDES; SEDIMENTS; TRENDS; BIOTA; FATE</t>
  </si>
  <si>
    <t>Contemporary studies of chemical contamination in Antarctica commonly focus on remnants of historical local releases or long-range transport of legacy pollutants. To protect the continent's pristine status, the Antarctic Treaty's Protocol on Environmental Protection prohibits importation of persistent organic pollutants. However, some polybrominated diphenyl ether PBDE) congeners exhibit similar properties. Many modern polymer-containing products, e.g., home/office furnishings and electronics, contain percent levels of flame retardant PBDEs. PBDE concentrations in indoor dust and wastewater sludge from the U.S. McMurdo and New Zealand-operated Scott Antarctic research bases were high. Levels tracked those in sludge and dust from their respective host countries. BDE-209, the major constituent in the commercial deca-PBDE product, was the dominant congener in sludge and dust, as well as aquatic sediments collected near the McMurdo wastewater outfall. The pattern and level of BOE-209 sediment concentrations, in conjunction with its limited environmental mobility, suggest inputs from local sources. PBDE concentrations in fish and invertebrates near the McMurdo outfall rivaled those in urbanized areas of North America and generally decreased with distance. The data indicate that reliance on wastewater maceration alone, as stipulated by the Protocol, may permit entry of substantial amounts of PBDEs and other chemicals to the Antarctic environment.</t>
  </si>
  <si>
    <t>[Hale, Robert C.; Harvey, Ellen; La Guardia, Mark J.; Mainor, T. Matt; Bush, Elizabeth O.; Jacobs, Elizabeth M.] Virginia Inst Marine Sci, Dept Environm &amp; Aquat Anim Hlth, Gloucester Point, VA 23062 USA; [Kim, Stacy L.] Moss Landing Marine Labs, Moss Landing, CA 95039 USA</t>
  </si>
  <si>
    <t>William &amp; Mary; Virginia Institute of Marine Science; Moss Landing Marine Laboratories</t>
  </si>
  <si>
    <t>Hale, RC (corresponding author), Virginia Inst Marine Sci, Dept Environm &amp; Aquat Anim Hlth, POB 1346,Gloucester Point, Gloucester Point, VA 23062 USA.</t>
  </si>
  <si>
    <t>hale@vims.edu</t>
  </si>
  <si>
    <t>Hale, Robert C/D-7601-2013</t>
  </si>
  <si>
    <t>La Guardia, Mark/0000-0003-4866-4992; Hale, Robert/0000-0002-3066-8891</t>
  </si>
  <si>
    <t>10.1021/es702547a</t>
  </si>
  <si>
    <t>267PK</t>
  </si>
  <si>
    <t>WOS:000253521300016</t>
  </si>
  <si>
    <t>Säwström, C; Lisle, J; Anesio, AM; Priscu, JC; Laybourn-Parry, J</t>
  </si>
  <si>
    <t>Saewstroem, Christin; Lisle, John; Anesio, Alexandre M.; Priscu, John C.; Laybourn-Parry, Johanna</t>
  </si>
  <si>
    <t>Bacteriophage in polar inland waters</t>
  </si>
  <si>
    <t>bacteriophage; bacteria; Arctic; Antarctic; carbon cycling; lysogeny; polar inland waters; review</t>
  </si>
  <si>
    <t>LYTIC VIRAL PRODUCTION; VIRUS-LIKE PARTICLES; LYSOGENIC BACTERIA; PROPHAGE INDUCTION; MICROBIAL COMMUNITIES; LOOP DYNAMICS; MARINE; LAKES; COASTAL; MORTALITY</t>
  </si>
  <si>
    <t>Bacteriophages are found wherever microbial life is present and play a significant role in aquatic ecosystems. They mediate microbial abundance, production, respiration, diversity, genetic transfer, nutrient cycling and particle size distribution. Most studies of bacteriophage ecology have been undertaken at temperate latitudes. Data on bacteriophages in polar inland waters are scant but the indications are that they play an active and dynamic role in these microbially dominated polar ecosystems. This review summarises what is presently known about polar inland bacteriophages, ranging from subglacial Antarctic lakes to glacial ecosystems in the Arctic. The review examines interactions between bacteriophages and their hosts and the abiotic and biotic variables that influence these interactions in polar inland waters. In addition, we consider the proportion of the bacteria in Arctic and Antarctic lake and glacial waters that are lysogenic and visibly infected with viruses. We assess the relevance of bacteriophages in the microbial loop in the extreme environments of Antarctic and Arctic inland waters with an emphasis on carbon cycling.</t>
  </si>
  <si>
    <t>[Saewstroem, Christin] Umea Univ, Dept Ecol &amp; Environm Sci, CIRC, S-98107 Abisko, Sweden; [Lisle, John] USGS Ctr Coastal &amp; Watershed Res, St Petersburg, FL 33701 USA; [Anesio, Alexandre M.] Univ Bristol, Sch Geog Sci, Bristol BS8 1SS, Avon, England; [Priscu, John C.] Montana State Univ, Dept Land Resource &amp; Environm Sci, Bozeman, MT 59717 USA; [Laybourn-Parry, Johanna] Univ Tasmania, Inst Antarctic &amp; So Ocean Studies, Hobart, Tas 7001, Australia</t>
  </si>
  <si>
    <t>Umea University; United States Department of the Interior; United States Geological Survey; University of Bristol; Montana State University System; Montana State University Bozeman; University of Tasmania</t>
  </si>
  <si>
    <t>Säwström, C (corresponding author), Umea Univ, Dept Ecol &amp; Environm Sci, CIRC, S-98107 Abisko, Sweden.</t>
  </si>
  <si>
    <t>christin.sawstrom@emg.umu.se</t>
  </si>
  <si>
    <t>Anesio, Alexandre/A-7597-2008; Sawstrom, Christin/F-5462-2018</t>
  </si>
  <si>
    <t>Anesio, Alexandre/0000-0003-2990-4014; Sawstrom, Christin/0000-0001-9297-3093</t>
  </si>
  <si>
    <t>NERC [NE/D007321/1] Funding Source: UKRI; Natural Environment Research Council [NE/D007321/1] Funding Source: researchfish</t>
  </si>
  <si>
    <t>10.1007/s00792-007-0134-6</t>
  </si>
  <si>
    <t>270CD</t>
  </si>
  <si>
    <t>WOS:000253696600001</t>
  </si>
  <si>
    <t>Dietzel, L; Bräutigam, K; Pfannschmidt, T</t>
  </si>
  <si>
    <t>Dietzel, Lars; Braeutigam, Katharina; Pfannschmidt, Thomas</t>
  </si>
  <si>
    <t>Photosynthetic acclimation:: State transitions and adjustment of photosystem stoichiometry -: functional relationships between short-term and long-term light quality acclimation in plants</t>
  </si>
  <si>
    <t>higher plants; light quality; long-term response; photosynthesis; photosynthetic acclimation; photosystem stoichiometry; redox control; seed production; state transitions; thylakoid kinases</t>
  </si>
  <si>
    <t>LHCII PROTEIN-PHOSPHORYLATION; COMPLEX-II PHOSPHORYLATION; MESSENGER-RNA ACCUMULATION; ARABIDOPSIS-THALIANA; REDOX SIGNALS; ANTARCTIC PSYCHROPHILE; TRANSCRIPTION FACTORS; QUANTUM EFFICIENCY; THYLAKOID MEMBRANE; CHLOROPLAST</t>
  </si>
  <si>
    <t>In dense plant populations, individuals shade each other resulting in a low-light habitat that is enriched in far-red light. This light quality gradient decreases the efficiency of the photosynthetic light reaction as a result of imbalanced excitation of the two photosystems. Plants counteract such conditions by performing acclimation reactions. Two major mechanisms are known to assure efficient photosynthesis: state transitions, which act on a short-term timescale; and a long-term response, which enables the plant to re-adjust photosystem stoichiometry in favour of the rate-limiting photosystem. Both processes start with the perception of the imbalanced photosystem excitation via reduction/oxidation (redox) signals from the photosynthetic electron transport chain. Recent data in Arabidopsis indicate that initialization of the molecular processes in both cases involve the activity of the thylakoid membrane-associated kinase, STN7. Thus, redox-controlled phosphorylation events may not only adjust photosystem antenna structure but may also affect plastid, as well as nuclear, gene expression. Both state transitions and the long-term response have been described mainly in molecular terms, while the physiological relevance concerning plant survival and reproduction has been poorly investigated. Recent studies have shed more light on this topic. Here, we give an overview on the long-term response, its physiological effects, possible mechanisms and its relationship to state transitions as well as to nonphotochemical quenching, another important short-term mechanism that mediates high-light acclimation. Special emphasis is given to the functional roles and potential interactions between the different light acclimation strategies. A working model displays the various responses as an integrated molecular system that helps plants to acclimate to the changing light environment.</t>
  </si>
  <si>
    <t>[Dietzel, Lars; Braeutigam, Katharina; Pfannschmidt, Thomas] Univ Jena, Inst Gen Bot &amp; Plant Physiol, Dept Plant Physiol, Jr Res Grp, D-07743 Jena, Germany</t>
  </si>
  <si>
    <t>Friedrich Schiller University of Jena</t>
  </si>
  <si>
    <t>Pfannschmidt, T (corresponding author), Univ Jena, Inst Gen Bot &amp; Plant Physiol, Dept Plant Physiol, Jr Res Grp, Domburger Str 159, D-07743 Jena, Germany.</t>
  </si>
  <si>
    <t>thomas.pfannschmidt@uni-jena.de</t>
  </si>
  <si>
    <t>Dietzel, Lars/E-5249-2016; Pfannschmidt, Thomas/AAH-5916-2021</t>
  </si>
  <si>
    <t>Dietzel, Lars/0000-0002-0579-2065; Braeutigam, Katharina/0000-0001-5655-7156</t>
  </si>
  <si>
    <t>10.1111/j.1742-4658.2008.06264.x</t>
  </si>
  <si>
    <t>270ZH</t>
  </si>
  <si>
    <t>WOS:000253758200004</t>
  </si>
  <si>
    <t>Seear, PJ; Sweeney, GE</t>
  </si>
  <si>
    <t>Seear, P. J.; Sweeney, G. E.</t>
  </si>
  <si>
    <t>Stability of RNA isolated from post-mortem tissues of Atlantic salmon (Salmo salar L.)</t>
  </si>
  <si>
    <t>FISH PHYSIOLOGY AND BIOCHEMISTRY</t>
  </si>
  <si>
    <t>brain; degradation; kidney; liver; muscle; post-mortem interval; RNA stability</t>
  </si>
  <si>
    <t>MESSENGER-RNA; HUMAN-BRAIN; DEGRADATION; RAT</t>
  </si>
  <si>
    <t>Studies of post-mortem interval on the stability of RNA from a number of various mammals have shown RNA to be stable for between 24 and 48 h following death. As yet there have been no studies looking at RNA stability in post-mortem tissues of poikilothermic fish. Brain, kidney, liver and muscle were collected from Atlantic salmon (Salmo salar) parr and samples of each tissue were placed into RNAlater (TM) after 0-24 h post-mortem storage at room temperature. Electrophoretic analysis of the total RNA showed degradation of ribosomal RNA only in muscle from 8 h onwards. Probing of northern blots with beta-actin showed that, in the brain, beta-actin mRNA was stable for 24 h post-mortem but degradation of mRNA was observed after 8 h with the kidney and liver and after 4 h with the muscle. Expression of the weakly expressed thyroid hormone receptor beta (TR beta) was detected by reverse transcriptase polymerase chain reaction (RT-PCR) in all tissues up to 24 h post-mortem although a reduction in PCR product was observed after 8 h with muscle and 24 h with kidney. Analysis with an Agilent 2100 Bioanalyzer showed that the RNA integrity number (RIN) of brain total RNA remained constant for 8 h post-mortem with only a small fall at 24 h post-mortem. The RINs of the remaining tissues indicated degradation at 8 h post-mortem with kidney and muscle and at 24 hours post-mortem with liver. Taken together these findings show that degradation of Atlantic salmon RNA is tissue dependent but stable for at least one hour post-mortem.</t>
  </si>
  <si>
    <t>[Seear, P. J.] British Antarctic Survey, Div Biol Sci, Cambridge CB3 0ET, England; [Sweeney, G. E.] Cardiff Univ, Cardiff Business Sch, Biomed Sci Bldg, Cardiff CF10 3US, Wales</t>
  </si>
  <si>
    <t>UK Research &amp; Innovation (UKRI); Natural Environment Research Council (NERC); NERC British Antarctic Survey; Cardiff University</t>
  </si>
  <si>
    <t>Seear, PJ (corresponding author), British Antarctic Survey, Div Biol Sci, High Cross,Madingley Rd, Cambridge CB3 0ET, England.</t>
  </si>
  <si>
    <t>paea@bas.ac.uk; SweeneyGE@cf.ac.uk</t>
  </si>
  <si>
    <t>Power, Deborah M/D-3333-2011</t>
  </si>
  <si>
    <t>Power, Deborah M/0000-0003-1366-0246</t>
  </si>
  <si>
    <t>Biotechnology and Biological Sciences Research Council [72/EGA17676] Funding Source: Medline; NERC [bas010015] Funding Source: UKRI; Natural Environment Research Council [bas010015] Funding Source: researchfish</t>
  </si>
  <si>
    <t>Biotechnology and Biological Sciences Research Council(UK Research &amp; Innovation (UKRI)Biotechnology and Biological Sciences Research Council (BBSRC)); NERC(UK Research &amp; Innovation (UKRI)Natural Environment Research Council (NERC)); Natural Environment Research Council(UK Research &amp; Innovation (UKRI)Natural Environment Research Council (NERC))</t>
  </si>
  <si>
    <t>0920-1742</t>
  </si>
  <si>
    <t>1573-5168</t>
  </si>
  <si>
    <t>FISH PHYSIOL BIOCHEM</t>
  </si>
  <si>
    <t>Fish Physiol. Biochem.</t>
  </si>
  <si>
    <t>10.1007/s10695-007-9141-x</t>
  </si>
  <si>
    <t>Biochemistry &amp; Molecular Biology; Fisheries; Physiology</t>
  </si>
  <si>
    <t>267RS</t>
  </si>
  <si>
    <t>WOS:000253527500003</t>
  </si>
  <si>
    <t>Wagner, CG</t>
  </si>
  <si>
    <t>Wagner, Cynthia G.</t>
  </si>
  <si>
    <t>Environment - Lunar habitat gets Antarctic test</t>
  </si>
  <si>
    <t>FUTURIST</t>
  </si>
  <si>
    <t>WORLD FUTURE SOC</t>
  </si>
  <si>
    <t>7910 WOODMONT AVE, STE 450, BETHESDA, MD 20814 USA</t>
  </si>
  <si>
    <t>0016-3317</t>
  </si>
  <si>
    <t>Futurist</t>
  </si>
  <si>
    <t>MAR-APR</t>
  </si>
  <si>
    <t>Social Issues</t>
  </si>
  <si>
    <t>265NZ</t>
  </si>
  <si>
    <t>WOS:000253367900009</t>
  </si>
  <si>
    <t>Menichetti, M; Lodolo, E; Tassone, A</t>
  </si>
  <si>
    <t>Menichetti, M.; Lodolo, E.; Tassone, A.</t>
  </si>
  <si>
    <t>Structural geology of the Fuegian Andes and Magallanes fold-and-thrust belt - Tierra del Fuego Island</t>
  </si>
  <si>
    <t>GEOLOGICA ACTA</t>
  </si>
  <si>
    <t>Fuengian Andes; structural geology; tectonics; neotectonics; Andes</t>
  </si>
  <si>
    <t>SOUTHERNMOST SOUTH-AMERICA; DARWIN METAMORPHIC COMPLEX; RELATIVE PLATE MOTIONS; BACK-ARC; CORDILLERA-DARWIN; ANTARCTIC PENINSULA; TECTONIC EVOLUTION; CONTINENTAL-MARGIN; MALVINAS BASIN; CORE COMPLEX</t>
  </si>
  <si>
    <t>A synthesis of the structural geology of the Tierra del Fuego Island, which integrates a new data set derived from field surveys and literature data of the last few years, is here presented. The main geological features of the region developed during the Mesozoic-Cenozoic Andean orogenic cycle that started in the Middle to Late Jurassic with a back-arc extension, crustal stretching and widespread volcanism, related to the break-up of Gondwanaland. An extensional fault system deriving from the mechanical and thermal subsidence led the evolution of the Rocas Verdes marginal basin, which hosts the upper Jurassic volcanoclastic rocks, the lower Cretaceous turbiditic sequences and few isolated elongated ophiolitic complexes. From the Late Cretaceous onward, the orogenic cycle of the Fuegian Andes continued with the shortening and inversion of the back-arc margin through horizontal contraction and crustal thickening. The uplift of the Cordillera, the emplacement of plutonic rocks, and the intracontinental polyphase deformation resulted from thick-skinned tectonics. The thrust system developed from its deeper roots, where the Palaeozoic basement was involved in compressional deformation, and propagated to the shallower stratigraphic levels of the northward verging Magallanes fold-and-thrust belt. The Magallanes foreland basin developed in front of the orogenic wedge that records at least four syntectonic angular unconformities from Late Cretaceous to Lower Miocene. During the Late Cretaceous Andean compression, three distinct phases of penetrative ductile deformation defined by low-greenschist facies assemblages took place, both in the basement and in the cover units. These deformations are related to a single metamorphic event with foliation development, as observed from microscopic analysis of the schist in the Ushuaia area. The first foliation S, is preserved either as relic sericite microfolds between microlithons of the dominant S-2, or as early refolded veins of recrystallized quartz. The S-2 foliation is defined by oriented white mica. The crenulation of S-2, which is related to D-3 and occurs in most strained zones, becomes a pressure solution S-3 spaced foliation, lined by opaque minerals. From the Palaeogene to the present, EW sinistral wrench tectonics affected the region as a component of the relative motion between South America and the Antarctic Peninsula. This strike-slip activity is well documented from the Carbajal valley to the Canal de Beagle region south of the Magallanes-Fagnano transform fault system. Restraining bends and overlapping step-over geometry charactefize few sectors of the strike-slip faults with pop-ups, pressure ridges and uplifted slivers of crust. Releasing step-over along the transform fault system, both in on-shore and off-shore zones, formed several elongated pull-apart basins with many tens of km in length and a few kin in width. The Lago Fagnano represents the main morphotectonic expression of this structural setting. A N-S geological cross-section through the Fuegian Andes synthesizes all the geological and geophysical data. The major stacks of internal thick-skinned basement involved in the thrusting are high-grade Upper Palaeozoic to Lower Tertiary metamorphic rocks. The geometry of the thrust complex is an upright, south plunging monocline of moderately tilted sedimentary cover strata, as well as related thrusts, faults and chevron folds involving the Upper Jurassic and Cretaceous rocks. The orogenic shortening of the Fuegian Andes, including theCordillera and the Magallanes fold-and-thrust belt, reaches few hundred kilometres with a left-lateral wrenching component of many tens of meters. The Tierra del Fuego Island is characterized by low magnitude (M&lt;3.5) and shallow crustal earthquakes. The southern part presents strong morphological evidence of Quaternary activity, related to the E-W left-lateral strike-slip faults. The actual deformation pattern presents a horizontal slip component of about 6 mm/year. Moreover, the northern sector of the Island is affected by extensional tectonics related to the normal fault systems of the eastern arms of the Magallanes Strait.</t>
  </si>
  <si>
    <t>[Menichetti, M.] Univ Urbino, Ist Sci Terra, I-61029 Urbino, Italy; [Lodolo, E.] Ist Nazl Oceanog &amp; Geofis Sperimentale, I-34010 Trieste, Italy; [Tassone, A.] Univ Buenos Aires, CONICET INGEODAV, Dept Geol, FCEyN, RA-1053 Buenos Aires, DF, Argentina</t>
  </si>
  <si>
    <t>University of Urbino; Istituto Nazionale di Oceanografia e di Geofisica Sperimentale; Consejo Nacional de Investigaciones Cientificas y Tecnicas (CONICET); University of Buenos Aires</t>
  </si>
  <si>
    <t>Menichetti, M (corresponding author), Univ Urbino, Ist Sci Terra, Campus Cient Univ, I-61029 Urbino, Italy.</t>
  </si>
  <si>
    <t>menichetti@uniurb.it; elodolo@ogs.trieste.it; atassone@gl.fcen.uba.ar</t>
  </si>
  <si>
    <t>MENICHETTI, Marco/0000-0003-2901-0715; LODOLO, Emanuele/0000-0002-4706-2095</t>
  </si>
  <si>
    <t>UNIV BARCELONA</t>
  </si>
  <si>
    <t>BARCELONA</t>
  </si>
  <si>
    <t>INST CIENCIES TERRA JAUME ALMERA-CSIC, LLUIS SOLE I SABARIS S-N, BARCELONA, E-08028, SPAIN</t>
  </si>
  <si>
    <t>1695-6133</t>
  </si>
  <si>
    <t>1696-5728</t>
  </si>
  <si>
    <t>GEOL ACTA</t>
  </si>
  <si>
    <t>Geol. Acta</t>
  </si>
  <si>
    <t>280KT</t>
  </si>
  <si>
    <t>WOS:000254426400003</t>
  </si>
  <si>
    <t>Hervé, F; Calderón, M; Faúndez, V</t>
  </si>
  <si>
    <t>Herve, F.; Calderon, M.; Faundez, V.</t>
  </si>
  <si>
    <t>The metamorphic complexes of the Patagonian and Fuegian Andes</t>
  </si>
  <si>
    <t>metamorphic complexes; late Paleozoic; Jurassic; blueschists; subduction zone</t>
  </si>
  <si>
    <t>TIERRA-DEL-FUEGO; P-T PATHS; CORDILLERA DARWIN; GONDWANA MARGIN; SOUTHERNMOST CHILE; SOUTH-AMERICA; U-PB; AGE; EVOLUTION; ARCHIPELAGO</t>
  </si>
  <si>
    <t>The Patagonian and Fuegian Andes are made up in part by late Paleozoic to Mesozoic metamorphic complexes. The mostly low grade late Paleozoic Eastern Andes Metamorphic Complex (EAMC) crops out to the East of the Meso-Cenozoic South Patagonian batholith (SPB), which intruded the metamorphic complexes. The protolith of the EAMC was likely deposited in a passive margin setting and at the Puerto Eden area underwent Late Jurassic sillimanite grade and migmatite local metamorphic conditions. It is suspected, but not proven, that the Cordillera Darwin Metamorphic Complex is a higher grade metamorphic equivalent of the EAMC. West of the SPB, paleo subduction complexes occur and are represented by the allochtonous Madre de Dios terrane. This terrane is composed of the ocean floor lithologies of the Denaro Complex topped by the Tarlton limestones that represent a guyot assemblage. The low grade continent derived Duque de York complex was deposited down top of the ocean floor lithologies. Further west, the blueschist bearing Middle Jurassic Diego de Almagro Complex, with psammopelitic, mafic and siliceous volcanic rock protoliths, evolved deep in a subduction zone during the Cretaceous. The possibility that the Antarctic Peninsula was located west of the present margin of South America is discussed.</t>
  </si>
  <si>
    <t>[Herve, F.; Calderon, M.; Faundez, V.] Univ Chile, Dept Geol, Santiago, Chile</t>
  </si>
  <si>
    <t>Hervé, F (corresponding author), Univ Chile, Dept Geol, Plaza Ercilla 803,Casilla 13518,Correo 21, Santiago, Chile.</t>
  </si>
  <si>
    <t>fherve@cec.uchile.cl</t>
  </si>
  <si>
    <t>Herve, Francisco/HDO-6628-2022; Calderon, Mauricio/AAY-6863-2020; Faundez, Victor/HPE-0285-2023</t>
  </si>
  <si>
    <t>WOS:000254426400004</t>
  </si>
  <si>
    <t>Johnson, JS; Bentley, MJ; Gohl, K</t>
  </si>
  <si>
    <t>Johnson, Joanne S.; Bentley, Michael J.; Gohl, Karsten</t>
  </si>
  <si>
    <t>First exposure ages from the Amundsen Sea embayment, West Antarctica: The late quaternary context for recent thinning of Pine Island, Smith, and Pope Glaciers</t>
  </si>
  <si>
    <t>GEOLOGY</t>
  </si>
  <si>
    <t>West Antarctic Ice Sheet; Pine Island Glacier; exposure age; cosmogenic isotopes; glacial history</t>
  </si>
  <si>
    <t>MARIE-BYRD-LAND; ICE-SHEET; DEGLACIATION; MAXIMUM</t>
  </si>
  <si>
    <t>Dramatic changes (acceleration, thinning, and grounding-line retreat of major ice streams) in the Amundsen Sea sector of the West Antarctic Ice Sheet (WAIS) have been observed during the past two decades, but the millennial-scale context for these changes is not yet known. We present the first surface exposure ages recording thinning of Pine Island, Smith, and Pope Glaciers, which all drain into the Amundsen Sea. From these we infer progressive thinning of Pine Island Glacier at an average rate of 3.8 +/- 0.3 cm yr(-1) for at least the past 4.7 k.y., and of Smith and Pope Glaciers at 2.3 +/- 0.2 cm yr(-1) over the past 14.5 k.y. These rates are more than an order of magnitude lower than the similar to 1.6 m yr(-1) recorded by satellite altimetry for Pine Island Glacier in the period 1992-1996. Similarly low long-term rates (2.5-9 ern yr(-1) since 10 ka) have been reported farther west in the Ford Ranges, Marie Byrd Land, but in that area, the same rates of thinning continue to the present day. Our data provide the first evidence that puts into context recent rates of thinning of the WAIS in the Amundsen Sea Embayment and demonstrates that these are unusually rapid. The data also provide much-needed constraints for ice sheet models, which are the primary tool for predicting the future behavior of the WAIS and its likely contribution to sea-level rise.</t>
  </si>
  <si>
    <t>[Johnson, Joanne S.; Bentley, Michael J.] British Antarctic Survey, Cambridge CB3 0ET, England; [Bentley, Michael J.] Univ Durham, Dept Geog, Durham DH1 3LE, England; [Gohl, Karsten] Alfred Wegener Inst Polar &amp; Marine Res, D-27515 Bremerhaven, Germany</t>
  </si>
  <si>
    <t>UK Research &amp; Innovation (UKRI); Natural Environment Research Council (NERC); NERC British Antarctic Survey; Durham University; Helmholtz Association; Alfred Wegener Institute, Helmholtz Centre for Polar &amp; Marine Research</t>
  </si>
  <si>
    <t>Johnson, JS (corresponding author), British Antarctic Survey, Madingley Rd, Cambridge CB3 0ET, England.</t>
  </si>
  <si>
    <t>Bentley, Michael J/F-7386-2011</t>
  </si>
  <si>
    <t>Bentley, Michael J/0000-0002-2048-0019; Gohl, Karsten/0000-0002-9558-2116; Johnson, Joanne/0000-0003-4537-4447</t>
  </si>
  <si>
    <t>NERC [bas010018] Funding Source: UKRI; Natural Environment Research Council [bas010018] Funding Source: researchfish</t>
  </si>
  <si>
    <t>0091-7613</t>
  </si>
  <si>
    <t>1943-2682</t>
  </si>
  <si>
    <t>10.1130/G24207A.1</t>
  </si>
  <si>
    <t>270WN</t>
  </si>
  <si>
    <t>WOS:000253751000008</t>
  </si>
  <si>
    <t>LeMasurier, WE</t>
  </si>
  <si>
    <t>LeMasurier, Wesley E.</t>
  </si>
  <si>
    <t>Neogene extension and basin deepening in the West Antarctic rift inferred from comparisons with the East African rift and other analogs</t>
  </si>
  <si>
    <t>West Antarctic rift; ice-filled grabens; dome uplift; tectonic landscape</t>
  </si>
  <si>
    <t>LITHOSPHERIC STRUCTURE; CRUSTAL STRUCTURE; PLATE MOTION; ICE-SHEET; SYSTEM; CALIFORNIA; EROSION; BENEATH; MODEL; LAND</t>
  </si>
  <si>
    <t>The West Antarctic rift system differs from other volcanically active rift systems in two unusual respects: (1) the rift floor lies 1000-2000 m lower in elevation than others, and (2) four interior ice-filled troughs extend between 1500 m and 2555 m below sea level. Two troughs are more than twice the depth of Lake Baikal, the world's deepest lake. The Marie Byrd Land dome, by contrast, compares closely with the intra-rift Kenyan and Ethiopian domes in the East African rift. Comparisons between these rift systems suggest (1) that the West Antarctic interior is relatively cool and volcanically inactive, (2) that there is likely to have been an episode of extension during Neogene time in the deep interior basins, and (3) that dome uplift and basin subsidence have greatly changed the West Antarctic landscape over the past 25 m.y.</t>
  </si>
  <si>
    <t>Univ Colorado, Inst Arctic &amp; Alpine Res, Boulder, CO 80309 USA</t>
  </si>
  <si>
    <t>University of Colorado System; University of Colorado Boulder</t>
  </si>
  <si>
    <t>LeMasurier, WE (corresponding author), Univ Colorado, Inst Arctic &amp; Alpine Res, Boulder, CO 80309 USA.</t>
  </si>
  <si>
    <t>10.1130/G24363A.1</t>
  </si>
  <si>
    <t>WOS:000253751000014</t>
  </si>
  <si>
    <t>Lear, CH; Bailey, TR; Pearson, PN; Coxall, HK; Rosenthal, Y</t>
  </si>
  <si>
    <t>Lear, Caroline H.; Bailey, Trevor R.; Pearson, Paul N.; Coxall, Helen K.; Rosenthal, Yair</t>
  </si>
  <si>
    <t>Cooling and ice growth across the Eocene-Oligocene transition</t>
  </si>
  <si>
    <t>Eocene; Oligocene; climate; ice sheets; temperature; Cenozoic</t>
  </si>
  <si>
    <t>FORAMINIFERAL MG/CA-PALEOTHERMOMETRY; ANTARCTIC GLACIATION; CALIBRATION; CLIMATE; CALCITE; RECORDS; OCEAN</t>
  </si>
  <si>
    <t>The Eocene-Oligocene (E-O) climate transition (ca. 34 Ma) marks a period of Antarctic ice growth and a major step from early Cenozoic greenhouse conditions toward today's glaciated climate state. The transition is represented by an increase in deep-sea benthic foraminiferal oxygen isotope (delta O-18) values occurring in two main steps that reflect the temperature and delta O-18 of seawater. Existing benthic Mg/Ca paleotemperature records do not display a cooling across the transition, possibly reflecting a saturation state effect on benthic foraminiferal Mg/Ca ratios at deep-water sites. Here we present data from exceptionally well preserved foraminifera deposited well above the calcite compensation depth that provide the first proxy evidence for an similar to 2.5 degrees C ocean cooling associated with the ice growth. This permits interpretation of E-O delta O-18 records without invoking Northern Hemisphere continental-scale ice.</t>
  </si>
  <si>
    <t>[Lear, Caroline H.; Pearson, Paul N.; Coxall, Helen K.] Cardiff Univ, Sch Earth Ocean &amp; Planetary Sci, Cardiff CF10 3YE, Wales; [Bailey, Trevor R.] Amgueddfa Cymru Natl Museum Wales, Dept Geol, Cardiff CF10 3NP, Wales; [Rosenthal, Yair] State Univ New Jersey, Inst Marine &amp; Coastal Sci, New Brunswick, NJ 08901 USA; [Rosenthal, Yair] State Univ New Jersey, Dept Geol, New Brunswick, NJ 08901 USA</t>
  </si>
  <si>
    <t>Cardiff University; Rutgers University System; Rutgers University New Brunswick; Rutgers University System; Rutgers University New Brunswick</t>
  </si>
  <si>
    <t>Lear, CH (corresponding author), Cardiff Univ, Sch Earth Ocean &amp; Planetary Sci, Main Bldg,Pk Pl, Cardiff CF10 3YE, Wales.</t>
  </si>
  <si>
    <t>Lear, Caroline H/D-2582-2009; Pearson, Paul/B-2276-2009</t>
  </si>
  <si>
    <t>Pearson, Paul/0000-0003-4628-9818; Coxall, Helen/0000-0002-2843-2898; Lear, Caroline/0000-0002-7533-4430; Bailey, Trevor/0000-0001-6428-1794</t>
  </si>
  <si>
    <t>NERC [NE/E007902/1] Funding Source: UKRI; Natural Environment Research Council [NE/B503225/1, NE/E007902/1] Funding Source: researchfish</t>
  </si>
  <si>
    <t>10.1130/G24584A.1</t>
  </si>
  <si>
    <t>WOS:000253751000015</t>
  </si>
  <si>
    <t>Vaughan, APM; Pankhurst, RJ</t>
  </si>
  <si>
    <t>Vaughan, Alan P. M.; Pankhurst, Robert J.</t>
  </si>
  <si>
    <t>Tectonic overview of the West Gondwana margin</t>
  </si>
  <si>
    <t>GONDWANA RESEARCH</t>
  </si>
  <si>
    <t>12th Gondwana Conference</t>
  </si>
  <si>
    <t>NOV 06-11, 2005</t>
  </si>
  <si>
    <t>Mendoza, ARGENTINA</t>
  </si>
  <si>
    <t>accretionary orogen; terrane; Palaeozoic; Laurentia; Rodinia</t>
  </si>
  <si>
    <t>EARLY PALEOZOIC EVOLUTION; ARGENTINE PRECORDILLERA TERRANE; LAND SHEAR ZONE; CAPE FOLD BELT; NEW-ZEALAND; ANTARCTIC PENINSULA; SIERRAS-PAMPEANAS; U-PBSHRIMP; FALKLAND-ISLANDS; LATADY BASIN</t>
  </si>
  <si>
    <t>The oceanic southern margin of Gondwana, from southern South America through South Africa, West Antarctica, New Zealand (in its pre break-up position), and Victoria Land to Eastern Australia is one of the longest and longest-lived active continental margins known. It was the site of the 18,000 kin Terra Australis orogen, which was initiated in Neoproterozoic times with the break-up of Rodinia, and evolved into the Mesozoic Australides. The Gondwana margin was completed, in Late Cambrian times, by closure of the Adamastor Ocean (between Brazilian and southwest African components) and the Mozambique Ocean (between East and West Gondwana), forming the Brasiliano-Pan-African mobile belts. During the Early Palaeozoic much of the southern margin was dominated by successive episodes of subduction-accretion. Eastern Australia, Northern Victoria Land and the Transantarctic Mountains were affected by one of the first of these events - the Late Cambrian Ross/Delamerian orogeny, remnants of which may be found in the Antarctic Peninsula - but also contain two accreted terranes of unknown age and origin. Similar events are recognized at the South American end of the margin, where the Cambrian Pampean orogeny occur-red with dextral strike-slip along the western edge of the Rio de la Plata craton, followed by an Ordovician active margin (Famatinian) associated with the collision of the Precordillera. terrane. However, the central part of the margin (the Sierra de la Ventana of eastern Argentina, the Cape Fold Belt of South Africa and the Ellsworth Mountains of West Antarctica) seem to represent a passive margin during the Early Palaeozoic, with the accumulation of predominantly reworked continental sedimentary deposits (Du Toit's 'Samfrau Geosyncline'). In many of the outer areas, accretion and intense granitic/rhyolitic magmatism continued during the Late Palaeozoic, with collision of several small continental terranes, many of which are nevertheless of Gondwana origin: e.g., southern Patagonia and (possibly) 'Chilenia' in the South American-South African sectors, and the Western Province and Median Batholith terranes of New Zealand. The rhyolitic Permo-Triassic LIP of southern South America represents a Permo-Triassic switch to extensional tectonics, which continued into the Early Jurassic, and was followed by the establishment of the Andean subduction margin. Elsewhere at this time the margin largely became passive, with terrane accretion continuing in New Zealand. In the Mesozoic, the Terra Australis Orogen evolved into the accretionary Australides, with episodic orogenesis in the New Zealand, West Antarctic and South American sectors in Late Triassic-Early Jurassic and mid-Cretaceous times, even as Gondwana was breaking up. (C) 2007 International Association for Gondwana Research. Published by Elsevier B.V. All rights reserved.</t>
  </si>
  <si>
    <t>[Vaughan, Alan P. M.] British Antarctic Survey, High Cross, Cambridge CB3 0ET, England; [Pankhurst, Robert J.] British Geol Survey, Nottingham NG12 5GG, England</t>
  </si>
  <si>
    <t>UK Research &amp; Innovation (UKRI); Natural Environment Research Council (NERC); NERC British Antarctic Survey; UK Research &amp; Innovation (UKRI); Natural Environment Research Council (NERC); NERC British Geological Survey</t>
  </si>
  <si>
    <t>Vaughan, APM (corresponding author), British Antarctic Survey, High Cross, Madingley Rd, Cambridge CB3 0ET, England.</t>
  </si>
  <si>
    <t>a.vaughan@bas.ac.uk; rjpt@nigl.nere.ac.uk</t>
  </si>
  <si>
    <t>Vaughan, Alan PM/B-7829-2010</t>
  </si>
  <si>
    <t>NERC [bas010006, nigl010001, bgs04003, bas010020] Funding Source: UKRI; Natural Environment Research Council [NER/B/S/2003/00173, bas010006, bas010020, nigl010001, bgs04003] Funding Source: researchfish</t>
  </si>
  <si>
    <t>1342-937X</t>
  </si>
  <si>
    <t>1878-0571</t>
  </si>
  <si>
    <t>GONDWANA RES</t>
  </si>
  <si>
    <t>Gondwana Res.</t>
  </si>
  <si>
    <t>10.1016/j.gr.2007.07.004</t>
  </si>
  <si>
    <t>277TU</t>
  </si>
  <si>
    <t>WOS:000254238400002</t>
  </si>
  <si>
    <t>Adams, CJ</t>
  </si>
  <si>
    <t>Adams, C. J.</t>
  </si>
  <si>
    <t>Geochronology of Paleozoic terranes at the Pacific Ocean margin of Zealandia</t>
  </si>
  <si>
    <t>Campbell Island; Bounty Island; Rb-Sr dating; U-Pb dating; Paleozoic; metamorphic rocks</t>
  </si>
  <si>
    <t>POTASSIUM-ARGON AGES; MEDIAN TECTONIC ZONE; MARIE-BYRD LAND; RB-SR AGE; SOUTHWEST-PACIFIC; CAMPBELL PLATEAU; GREENLAND GROUP; ISOTOPE CHARACTERISTICS; GONDWANALAND MARGIN; TORLESSE SUPERGROUP</t>
  </si>
  <si>
    <t>Rb-Sr and U-Pb zircon ages are reported from basement rocks on Campbell Plateau. On Campbell Island, Rb-Sr ages of Complex Point schists are (1) at Complex Point, 462 +/- 53 Ma similar to Western Province, early Paleozoic metasediments in New Zealand, and Antarctic correlatives and (2) at Garden Cove, 526 +/- 18 Ma, (pre-Late Cambrian). Schist detrital zircons have a youngest age peak 524 5 Ma, suggesting an Early or early Middle Cambrian stratigraphic age not seen in New Zealand and possibly correlative with Sledgers Group, North Victoria Land, Antarctica. On Bounty Island, granodiorites yield an Rb-Sr age, 183 +/- 9 Ma, with correlates known only in eastern Marie Byrd Land, Antarctica. Metasediments at a seafloor locality on Bounty Platform, have a minimum U-Pb detrital zircon age, 482 +/- 5 Ma, and an Rb-Sr metamorphic age 174 +/- 32 Ma, correlative with Western Province metasediments in South Island. The age data suggest that Campbell Plateau is mostly underlain by Western Province, early Paleozoic metasediments, intruded by (1) early to mid-Cretaceous granitoids along the western margin, extending north to New Zealand and south to Antarctica, and (2) Early Jurassic granitoids on Bounty Platform extending to Marie Byrd Land. (C) 2007 International Association for Gondwana Research. Published by Elsevier B.V. All rights reserved.</t>
  </si>
  <si>
    <t>GNS Sci, Lower Hutt, New Zealand</t>
  </si>
  <si>
    <t>GNS Science - New Zealand</t>
  </si>
  <si>
    <t>Adams, CJ (corresponding author), GNS Sci, POB 30368, Lower Hutt, New Zealand.</t>
  </si>
  <si>
    <t>argon@gns.cri.nz</t>
  </si>
  <si>
    <t>10.1016/j.gr.2007.07.001</t>
  </si>
  <si>
    <t>WOS:000254238400010</t>
  </si>
  <si>
    <t>Elliot, DH; Fanning, CM</t>
  </si>
  <si>
    <t>Elliot, D. H.; Fanning, C. M.</t>
  </si>
  <si>
    <t>Detrital zircons from upper Permian and lower Triassic Victoria Group sandstones, Shackleton Glacier region, Antarctica: Evidence for multiple sources along the Gondwana plate margin</t>
  </si>
  <si>
    <t>zircon; geochronology; Beacon; Antarctica; Permian-Triassic</t>
  </si>
  <si>
    <t>MARIE-BYRD-LAND; CENTRAL TRANSANTARCTIC MOUNTAINS; WEST ANTARCTICA; ROSS OROGEN; PROVENANCE; AGE; GEOCHRONOLOGY; SYSTEM; PB; CONSTRAINTS</t>
  </si>
  <si>
    <t>In the central Transantarctic Mountains region, siliciclastic strata of the Permian-Triassic Victoria Group (Beacon Supergroup), the Gondwana sequence in Antarctica, have both cratonic and magmatic arc provenance. Volcaniclastic strata occur in the upper part of the Permian Buckley Formation, whereas the Triassic Fremouw and Falla fort-nations are more quartzose. Two sandstones in the upper Buckley and one near the base of the Fremouw, and immediately above the Permo-Triassic boundary, in the Shackleton Glacier region have yielded detrital zircon U/Pb SHRIMP age populations with clear evidence for a contemporaneous source. The stratigraphically lowest sample, about 70 in below the top of the Buckley Formation, is dominated by zoned igneous zircons of late Permian age. The sample from near the top of the Buckley Fort-nation, about 40 in below the Permo-Triassic boundary, predominantly has zoned igneous zircons with the principal age peak again late Permian but with subordinate Devonian and Cambrian age peaks. The third sandstone from just above the Permo-Triassic boundary yielded zircons mainly of Neoproterozoic to Cambrian age. These results indicate a Permian-Triassic magmatic source existed during upper Buckley time, which is consistent with paleocurrent indicators of flow from the West Antarctic flank of the Permian-Triassic foreland basin, the inferred plate margin (Panthalassan) flank. The Devonian source is attributed to the Ford granodiorite suite in Marie Byrd Land, West Antarctica. Because Beacon strata cover the Cambrian Ross orogen and extend onto older basement, the Cambrian and Upper Proterozoic zircons are interpreted to be reworked from sandstones (Ordovician, Devonian, Early Permian in age) exposed in the Permian-Triassic Gondwanide orogen as a result of uplift of a fold and thrust belt by late Permian time. (C) 2007 International Association for Gondwana Research. Published by Elsevier B.V. All rights reserved.</t>
  </si>
  <si>
    <t>[Elliot, D. H.] Ohio State Univ, Dept Geol Sci, Columbus, OH 43210 USA; [Elliot, D. H.] Ohio State Univ, Byrd Polar Res Ctr, Columbus, OH 43210 USA; [Fanning, C. M.] Australian Natl Univ, Res Sch Earth Sci, Canberra, ACT 2000, Australia</t>
  </si>
  <si>
    <t>University System of Ohio; Ohio State University; University System of Ohio; Ohio State University; Australian National University</t>
  </si>
  <si>
    <t>Elliot, DH (corresponding author), Ohio State Univ, Dept Geol Sci, Columbus, OH 43210 USA.</t>
  </si>
  <si>
    <t>elliot.1@osu.edu</t>
  </si>
  <si>
    <t>Fanning, Christopher Mark/I-6449-2016</t>
  </si>
  <si>
    <t>Fanning, Christopher Mark/0000-0003-3331-3145</t>
  </si>
  <si>
    <t>10.1016/j.gr.2007.05.003</t>
  </si>
  <si>
    <t>WOS:000254238400011</t>
  </si>
  <si>
    <t>Jackson, GD; Meekan, MG; Wotherspoon, S; Jackson, CH</t>
  </si>
  <si>
    <t>Jackson, George D.; Meekan, Mark G.; Wotherspoon, Simon; Jackson, Christine H.</t>
  </si>
  <si>
    <t>Distributions of young cephalopods in the tropical waters of Western Australia over two consecutive summers</t>
  </si>
  <si>
    <t>cephalopods; light traps; Ningaloo; squid</t>
  </si>
  <si>
    <t>LOLIGO-OPALESCENS CEPHALOPODA; ILLEX-ARGENTINUS CEPHALOPODA; SOUTHERN CALIFORNIA BIGHT; BARRIER-REEF LAGOON; FISH LARVAE; LIGHT-TRAPS; IDIOSEPIUS-PYGMAEUS; TEMPORAL PATTERNS; LIFE-HISTORIES; SQUID</t>
  </si>
  <si>
    <t>Cephalopod paralarvae and juveniles were sampled with light traps deployed at the surface and deeper in the southern NW Shelf and on Ningaloo Reef off Western Australia during two consecutive summers. One cross shelf transect (Exmouth) was sampled in the late spring and summers of 1997/1998 (summer 1) and 1998/1999 (summer 2), and a second cross shelf transect (Thevenard) and a long-shore transect (Ningaloo) along the Ningaloo Reef were sampled in summer 2. Species captured in the order of abundance were octopods, Photololigo sp., Sepioteuthis lessoniana, and Sthenoteuthis oualaniensis. Most were captured in shallow traps except for Photololigo sp., which was common in both shallow and deep traps with larger animals found in deeper water. The presence of Idiosepius pygmaeus in deep water off Ningaloo Reef revealed the species to be eurytopic, inhabiting a wider range of habitats than previously known. Photololigo sp. and S. lessoniana were more abundant inshore, and octopods were especially abundant on mid-depth stations of the Exmouth transect, probably because of the turbulent mixing and increased productivity there. Fewer S. oualaniensis were caught during the first summer on the Ningaloo transect (n = 5) than during the second summer (n = 79).</t>
  </si>
  <si>
    <t>[Jackson, George D.; Jackson, Christine H.] Univ Tasmania, Inst Antarctic &amp; So Ocean Studies, Hobart, Tas 7001, Australia; [Meekan, Mark G.] Australian Inst Marine Sci, Casuarina MC, NT 0811, Australia; [Wotherspoon, Simon] Univ Tasmania, Sch Math &amp; Phys, Hobart, Tas 7001, Australia</t>
  </si>
  <si>
    <t>University of Tasmania; Australian Institute of Marine Science; University of Tasmania</t>
  </si>
  <si>
    <t>Jackson, GD (corresponding author), Univ Tasmania, Inst Antarctic &amp; So Ocean Studies, Private Bag 77, Hobart, Tas 7001, Australia.</t>
  </si>
  <si>
    <t>george.jackson@utas.edu.au</t>
  </si>
  <si>
    <t>Wotherspoon, Simon J/B-2390-2013; Jackson, George D/AAI-7315-2021</t>
  </si>
  <si>
    <t>Wotherspoon, Simon J/0000-0002-6947-4445; Meekan, Mark/0000-0002-3067-9427</t>
  </si>
  <si>
    <t>10.1093/icesjms/fsm186</t>
  </si>
  <si>
    <t>278GX</t>
  </si>
  <si>
    <t>Green Submitted, Bronze, Green Accepted</t>
  </si>
  <si>
    <t>WOS:000254274200003</t>
  </si>
  <si>
    <t>Khare, N; Ravindra, R; Huang, BH</t>
  </si>
  <si>
    <t>Khare, Neloy; Ravindra, Rasik; Huang, Bohua</t>
  </si>
  <si>
    <t>Antarctic and Southern Ocean - Physical Processes - Preface</t>
  </si>
  <si>
    <t>INDIAN JOURNAL OF MARINE SCIENCES</t>
  </si>
  <si>
    <t>[Khare, Neloy; Ravindra, Rasik] Natl Ctr Antarctic &amp; Ocean Res, Vasco Da Gama 403804, Goa, India; [Huang, Bohua] Ctr Ocean Land Atmosphere Studies, Inst Global Environm &amp; Society, Calverton, MD 20705 USA</t>
  </si>
  <si>
    <t>Ministry of Earth Sciences (MoES) - India; National Centre for Polar and Ocean Research (NCPOR)</t>
  </si>
  <si>
    <t>Khare, N (corresponding author), Natl Ctr Antarctic &amp; Ocean Res, Headland Sada, Vasco Da Gama 403804, Goa, India.</t>
  </si>
  <si>
    <t>Huang, Bohua/KBD-4133-2024</t>
  </si>
  <si>
    <t>NATL INST SCIENCE COMMUNICATION</t>
  </si>
  <si>
    <t>NEW DELHI</t>
  </si>
  <si>
    <t>DR K S KRISHNAN MARG, NEW DELHI 110 012, INDIA</t>
  </si>
  <si>
    <t>0379-5136</t>
  </si>
  <si>
    <t>INDIAN J MAR SCI</t>
  </si>
  <si>
    <t>Indian J. Mar. Sci.</t>
  </si>
  <si>
    <t>293FM</t>
  </si>
  <si>
    <t>WOS:000255320700002</t>
  </si>
  <si>
    <t>Rai, S; Khare, N; Pandey, AC</t>
  </si>
  <si>
    <t>Rai, Shailendra; Khare, N.; Pandey, A. C.</t>
  </si>
  <si>
    <t>Antarctica sea ice variability and southeast Indian ocean SST: Possible-relationship</t>
  </si>
  <si>
    <t>sea ice; southeast Indian ocean; Antarctica; Southern Ocean; climate data; SST; sea ice edge</t>
  </si>
  <si>
    <t>SURFACE TEMPERATURE; INTERANNUAL VARIABILITY; SUMMER RAINFALL; ENSO; MONSOON; DIPOLE; SENSITIVITY; ANOMALIES</t>
  </si>
  <si>
    <t>Relationships between the Antarctic sea ice variability and extrapolar climate variables especially the Indian Ocean SST have been explored and we have identified that the southeast Indian Ocean SST shows the most persistence relationship with Antarctic sea ice variability. The SST is the unique precursor for the Australian summer monsoon, Indian summer monsoon and ENSO phenomenon after the 1976-1977 regime shift and is also linked with recently discovered Indian Ocean Dipole event of subtropical Indian Ocean.</t>
  </si>
  <si>
    <t>[Rai, Shailendra; Pandey, A. C.] Univ Allahabad, K Banerjee Ctr Atmospher &amp; Ocean Studies, Allahabad 211002, Uttar Pradesh, India; [Khare, N.] Natl Ctr Antarctic &amp; Ocean Res, Vasco Da Gama 403804, Goa, India</t>
  </si>
  <si>
    <t>University of Allahabad; Ministry of Earth Sciences (MoES) - India; National Centre for Polar and Ocean Research (NCPOR)</t>
  </si>
  <si>
    <t>Pandey, AC (corresponding author), Univ Allahabad, K Banerjee Ctr Atmospher &amp; Ocean Studies, Allahabad 211002, Uttar Pradesh, India.</t>
  </si>
  <si>
    <t>avinashcpandey@rediffmail.com</t>
  </si>
  <si>
    <t>Pandey, Ashok/AAC-6340-2019; Rai, Shailendra/E-7227-2010; Pandey, Ashok/JBR-8714-2023; PANDEY, AVINASH CHANDRA/B-4600-2014</t>
  </si>
  <si>
    <t>Pandey, Ashok/0000-0003-1626-3529; Pandey, Ashok/0000-0003-1626-3529; PANDEY, AVINASH CHANDRA/0000-0003-0700-3856; Rai, Shailendra/0000-0003-0293-5478</t>
  </si>
  <si>
    <t>NATL INST SCIENCE COMMUNICATION-NISCAIR</t>
  </si>
  <si>
    <t>DR K S KRISHNAN MARG, PUSA CAMPUS, NEW DELHI 110 012, INDIA</t>
  </si>
  <si>
    <t>0975-1033</t>
  </si>
  <si>
    <t>WOS:000255320700004</t>
  </si>
  <si>
    <t>Luis, AJ; Ravindra, R</t>
  </si>
  <si>
    <t>Luis, Alvarinho J.; Ravindra, Rasik</t>
  </si>
  <si>
    <t>QuikSCAT-based momentum flux analysis over the Southern Ocean</t>
  </si>
  <si>
    <t>Southern Ocean; QuikSCAT vector winds; momentum flux; SST; Antarctic circumpolar current; wind stress curl; vector winds</t>
  </si>
  <si>
    <t>ANTARCTIC CIRCUMPOLAR WAVE; GULF-STREAM; TEMPERATURE; WINDS</t>
  </si>
  <si>
    <t>Using QuikSCAT vector winds, the seasonal and interannual variability of momentum flux were studied to explore the underlining dynamics for its modulation over the Southern Ocean (SO) during August 1999 to July 2003. The wind speed validation of ship and QuikSCAT measurements in the western Indian sector of the SO showed a bias and root mean square error of 0.3 and 1.6 m/s, respectively. On seasonal time scales, the spatial wind stress patterns reveal a basin-wide variability and the boreal summer monsoon significantly influencing it in the Indian Ocean (10) sector. The temporal march of the momentum flux for different ocean sectors exhibit a seasonal cycle with a maximum range between 0.13 and 0.18 N/m(2) during August-September and a minimum range between 0.07 and 0.11 N/m(2) during December - January, with a temporal shift of 1 month between the sectors. The atmospheric pressure gradient between tropics and high latitudes enhances the momentum flux in the 10 sector during austral winter. On interannual time scales the momentum flux maps indicate a marked regional variability which is highest in 10 sector and an evolution of cyclonic circulation south of 50 degrees S during austral winter. Based on earlier studies and after a detailed examination of SST and wind stress curl fields, it is argued that orientation of the SST gradient relative to direction of wind stress drive an atmospheric response through wind stress curl and divergence modulations, which in turn dictates the intensity of momentum flux on seasonal time scales.</t>
  </si>
  <si>
    <t>[Luis, Alvarinho J.; Ravindra, Rasik] Natl Ctr Antarctic &amp; Ocean Res, Minist Earth Sci, Polar Remote Sensing Div, Headland Sada 403804, Goa, India</t>
  </si>
  <si>
    <t>Luis, AJ (corresponding author), Natl Ctr Antarctic &amp; Ocean Res, Minist Earth Sci, Polar Remote Sensing Div, Headland Sada 403804, Goa, India.</t>
  </si>
  <si>
    <t>alvluis@ncaor.org</t>
  </si>
  <si>
    <t>Luis, Dr Alvarinho J./0000-0002-3425-8048</t>
  </si>
  <si>
    <t>WOS:000255320700006</t>
  </si>
  <si>
    <t>Pandey, AC; Rai, S</t>
  </si>
  <si>
    <t>Pandey, A. C.; Rai, Shailendra</t>
  </si>
  <si>
    <t>Sensitivity of the Indian Ocean circulation to surface wind stress</t>
  </si>
  <si>
    <t>Southern Indian ocean; circulation in Indian ocean; wind stress forcing</t>
  </si>
  <si>
    <t>SOUTH-ATLANTIC-OCEAN; CIRCUMPOLAR CURRENT; NORTH-ATLANTIC; MODEL; SEA; WATER</t>
  </si>
  <si>
    <t>There is a lot of debate on the responses of Antarctic Circumpolar Current (ACC) in relations to changes in Southern Hemisphere winds and how the momentum input by the surface wind stress can be transferred down to the ocean floor. An a coordinate Ocean General Circulation model was used in the present study. The major circulations in the Southern as well as tropical Indian Ocean have been discussed. The sensitivity of model with respect to wind stress forcing has been performed by using the surface wind stress climatological data of Hellerman and daSilva for the Indian Ocean up to 60 degrees S. It has been found that the response of zonal wind stress over tropical Indian Ocean north of 5 degrees S was large. The response of change in surface wind stress was negligible in the Southern Indian Ocean.</t>
  </si>
  <si>
    <t>[Pandey, A. C.; Rai, Shailendra] Univ Allahabad, K Banerjee Ctr Atmospher &amp; Ocean Studies, Allahabad 211002, Uttar Pradesh, India</t>
  </si>
  <si>
    <t>University of Allahabad</t>
  </si>
  <si>
    <t>Pandey, Ashok/JBR-8714-2023; Pandey, Ashok/AAC-6340-2019; Rai, Shailendra/E-7227-2010; PANDEY, AVINASH CHANDRA/B-4600-2014</t>
  </si>
  <si>
    <t>Pandey, Ashok/0000-0003-1626-3529; Pandey, Ashok/0000-0003-1626-3529; Rai, Shailendra/0000-0003-0293-5478; PANDEY, AVINASH CHANDRA/0000-0003-0700-3856</t>
  </si>
  <si>
    <t>WOS:000255320700007</t>
  </si>
  <si>
    <t>Tripathi, KC; Das, IML</t>
  </si>
  <si>
    <t>Tripathi, K. C.; Das, I. M. L.</t>
  </si>
  <si>
    <t>Simulation of Antarctic sea ice area with artificial neural network</t>
  </si>
  <si>
    <t>artificial neural network; Antarctic sea ice; Fourier analysis; activation function; sea ice; simulation; forecast; error back propagation</t>
  </si>
  <si>
    <t>SURFACE-TEMPERATURE; VARIABILITY; OCEAN; COVER; CLASSIFICATION; EXTENT; MODEL; TRENDS; IMPACT; WINTER</t>
  </si>
  <si>
    <t>The artificial neural network (ANN) has been used for simulation of Antarctic sea ice area anomalies. Various dominant cycles present in the data have been identified using the Fourier analysis. It has been found that the data of the Antarctic sea ice area has two dominant cycles: annual and half yearly. The effect of the presence and / or absence of these dominant cycles on the simulation results have been carried out. ANN can simulate the broad trend of the sea ice area anomalies when all the cycles are present. However, the prediction skill of model for intraseasonal variability degrades as we remove the trends. Further, the forecast have been verified on the basis of various attributes of the forecast.</t>
  </si>
  <si>
    <t>[Tripathi, K. C.; Das, I. M. L.] Univ Allahabad, K Banerjee Ctr Atmospher &amp; Ocean Studies, Allahabad 211002, Uttar Pradesh, India</t>
  </si>
  <si>
    <t>drimidas@yahoo.com</t>
  </si>
  <si>
    <t>Tripathi, Krishna/0000-0003-3156-7758</t>
  </si>
  <si>
    <t>WOS:000255320700010</t>
  </si>
  <si>
    <t>Das, IML; Mitra, A</t>
  </si>
  <si>
    <t>Das, I. M. L.; Mitra, Amitabh</t>
  </si>
  <si>
    <t>In-situ data and NCEP reanalysis:: A comparative study in the Southern Ocean and Antarctic Ocean</t>
  </si>
  <si>
    <t>in-situ data; surface layer; NCEP reanalysis; Southern Ocean; Antarctic Ocean; sea level pressure; air temperature; wind speed; relative humidity; SST</t>
  </si>
  <si>
    <t>NCAR REANALYSIS; LABRADOR SEA; TRENDS; TEMPERATURE</t>
  </si>
  <si>
    <t>A special expedition was launched by the National Center for Antarctic and Ocean Research (NCAOR), India on board R/V Akademik Boris Petrov during 25 January to 1 April 2006 passing the Southern Ocean and reaching the Larsemann Hills area of East Antarctica. The surface layer in-situ data generated from the cruise are compared with that obtained from the NCEP reanalysis during the same period along the track of the vessel. It is concluded that the NCEP reanalysis sea surface temperature and air temperature have some discrepancies as the vessel enters the sea ice zone near the Antarctic coast. The air pressure is well modeled but the relative humidity shows high variability throughout the period of the study. The wind speed is poorly correlated with that obtained from the NCEP due to the use of Course over the ground in place of ship heading while calculating the true wind.</t>
  </si>
  <si>
    <t>[Das, I. M. L.; Mitra, Amitabh] Univ Allahabad, K Banerjee Ctr Atmospher &amp; Ocean Studies, Allahabad 211002, Uttar Pradesh, India</t>
  </si>
  <si>
    <t>WOS:000255320700011</t>
  </si>
  <si>
    <t>Lal, RP</t>
  </si>
  <si>
    <t>Lal, R. P.</t>
  </si>
  <si>
    <t>Meteorology of Southern Ocean in Lazarev Sea area as revealed from observations obtained from Indian Antarctic Expeditions</t>
  </si>
  <si>
    <t>Southern Ocean; Lazarev Sea; latitudinal diurnal variation; diurnal variation; air temperature; SST; Dakshin Gangotri; meteorology; Antarctic expedition; wind field; atmospheric pressure; weather system</t>
  </si>
  <si>
    <t>Ship observations taken during voyage through Southern Ocean and observations recorded at Indian Antarctic Station Dakshin Gangotri (DG), have been used to study the latitudinal and diurnal variations of air temperature and sea surface temperature (SST) and climatology of Lazarev Sea area. Air temperature and SST are highly correlated and the SST tags by 1.5 degrees C during summer and the degree of lag reduces as winter approaches. The meteorological surface observations show an annual mean surface pressure of about 985 hPa. Surface wind is mainly easterly with annual average mean wind speed of 17 Kn. The annual average air temperature is -16.6 degrees C with a highest average air temperature of -2.5 degrees C during January and lowest average air temperature of -28.1 degrees C during August. Highest maximum temperature of 9.9 degrees C and lowest minimum temperature of -52.0 degrees C has been reported from coastal station. Diurnal variations of SST and air temperature have been observed in Lazarev sea area. It was not feasible to visualize these variations on moving ship.</t>
  </si>
  <si>
    <t>Indian Meteorolog Dept, New Delhi 110003, India</t>
  </si>
  <si>
    <t>Ministry of Earth Sciences (MoES) - India; India Meteorological Department (IMD)</t>
  </si>
  <si>
    <t>Lal, RP (corresponding author), Indian Meteorolog Dept, Mausam Bhavan,Lodhi Rd, New Delhi 110003, India.</t>
  </si>
  <si>
    <t>lairp@yahoo.com</t>
  </si>
  <si>
    <t>WOS:000255320700012</t>
  </si>
  <si>
    <t>Jain, SL</t>
  </si>
  <si>
    <t>Jain, S. L.</t>
  </si>
  <si>
    <t>Measurement of column ozone, water vapour over Indian Ocean</t>
  </si>
  <si>
    <t>column ozone; water vapour; aerosol optical depth; Sun photometer; Maitri; Antarctica; Indian Ocean</t>
  </si>
  <si>
    <t>ANTARCTIC OZONE; DECREASE; MAITRI</t>
  </si>
  <si>
    <t>The study of various minor constituents in the atmosphere plays an important role in the understanding of physics, chemistry, dynamics and radiation budget of the atmosphere. These trace species have temporal as well as spatial variation and therefore the knowledge of latitudinal distribution of these species is of great significance. Keeping this in view a highly sophisticated and microprocessor based compact sun photometer consisting of five filter channels at 300, 305, 3127 940 and 1020 nm was used to measure column ozone. water vapour in addition to various other parameters such as UV-B radiation, near IR radiation, aerosol optical depth etc. The measurements were made from Goa, India (15 degrees 24'N, 73 degrees 42' E) to Maitri, Antarctica ( 70 degrees 46' S, 11 degrees 45' E) over Indian Ocean during 16(th) Indian Scientific Expedition to Antarctica (December 1996-March 1997). It was found that water vapour decreased while total ozone increased as the ship moved towards the coldest, the windiest and the largest icy continent i.e. Antarctica.</t>
  </si>
  <si>
    <t>CSIR, Natl Phys Lab, Radio &amp; Atmospher Sci Div, New Delhi 110012, India</t>
  </si>
  <si>
    <t>Council of Scientific &amp; Industrial Research (CSIR) - India; CSIR - National Physical Laboratory (NPL)</t>
  </si>
  <si>
    <t>Jain, SL (corresponding author), CSIR, Natl Phys Lab, Radio &amp; Atmospher Sci Div, New Delhi 110012, India.</t>
  </si>
  <si>
    <t>sljain@nplindia.ernet.in</t>
  </si>
  <si>
    <t>WOS:000255320700013</t>
  </si>
  <si>
    <t>Choi, SH; Choe, WH; Lee, JI</t>
  </si>
  <si>
    <t>Choi, Suna-Hi; Choe, Won-Hie; Lee, Jong-Ik</t>
  </si>
  <si>
    <t>Mantle heterogeneity beneath the Antarctic-Phoenix Ridge off Antarctic Peninsula</t>
  </si>
  <si>
    <t>ISLAND ARC</t>
  </si>
  <si>
    <t>Antarctic-Phoenix Ridge; E-type MORB; heterogeneity; Sr-Nd-Pb isotopes</t>
  </si>
  <si>
    <t>EAST PACIFIC RISE; MID-ATLANTIC RIDGE; SOUTHWEST INDIAN RIDGE; MARBLE-CAKE MANTLE; ISOTOPE GEOCHEMISTRY; SPREADING CENTERS; MIDOCEAN RIDGES; HIGH-PRESSURES; DRAKE PASSAGE; SEAMOUNTS</t>
  </si>
  <si>
    <t>We determined the Sr, Nd and Pb isotopic compositions of basalts recovered from the Antarctic-Phoenix Ridge (APR), a fossil spreading center in the Drake Passage, Antarctic Ocean, in order to understand the nature of the subridge mantle source. There are no known hotspots in close proximity to the site. We observe that small-scale isotopic heterogeneity exists at a shallow level in the subaxial mantle of the APR. Enriched (E-type) mid-ocean ridge basalts (MORB) coexist with normal (N-type) MORB in this region. The E-type basalts are: (i) relatively young compared to the N-type samples; (ii) were erupted after the extinction of the APR; and (iii) have been generated by low-degree partial melting of an enriched mantle source. Extinction of the APR likely caused the extent of partial melting in this region to decrease. We interpret that the geochemically enriched materials dispersed in the ambient depleted mantle were the first fraction to melt to form the E-type MORB.</t>
  </si>
  <si>
    <t>[Choi, Suna-Hi; Choe, Won-Hie; Lee, Jong-Ik] Korea Polar Res Inst, Inchon 406840, South Korea</t>
  </si>
  <si>
    <t>Lee, JI (corresponding author), Korea Polar Res Inst, Songdo Techno Pk 7-50,Songdo Dong, Inchon 406840, South Korea.</t>
  </si>
  <si>
    <t>jilee@kopri.re.kr</t>
  </si>
  <si>
    <t>Choi, Sung Hi/0000-0001-8942-0359</t>
  </si>
  <si>
    <t>1038-4871</t>
  </si>
  <si>
    <t>ISL ARC</t>
  </si>
  <si>
    <t>Isl. Arc.</t>
  </si>
  <si>
    <t>10.1111/j.1440-1738.2007.00609.x</t>
  </si>
  <si>
    <t>269TT</t>
  </si>
  <si>
    <t>WOS:000253673900011</t>
  </si>
  <si>
    <t>Wood, SA; Rueckert, A; Cowan, DA; Cary, SC</t>
  </si>
  <si>
    <t>Wood, Susanna A.; Rueckert, Andreas; Cowan, Donald A.; Cary, S. Craig</t>
  </si>
  <si>
    <t>Sources of edaphic cyanobacterial diversity in the Dry Valleys of Eastern Antarctica</t>
  </si>
  <si>
    <t>ISME JOURNAL</t>
  </si>
  <si>
    <t>cyanobacteria; Antarctica; ARISA; 16S rRNA gene; intergenic transcribed spacer (ITS)</t>
  </si>
  <si>
    <t>INTERGENIC SPACER ANALYSIS; MCMURDO ICE SHELF; VICTORIA LAND; MICROBIAL DIVERSITY; BACTERIAL; WATER; MATS; FINGERPRINTS; COMMUNITIES; ANABAENA</t>
  </si>
  <si>
    <t>Cyanobacteria are major components of Antarctic Dry Valley ecosystems. Their occurrence in lakes and ponds is well documented, however, less is known about their distribution in edaphic environments. There has been considerable debate about the contribution of aquatic organic matter derived largely from cyanobacteria to terrestrial ecosystems. In this study, automated rRNA intergenic spacer analysis ( ARISA) and 16S rRNA gene clone libraries were used to investigate cyanobacterial diversity in a range of soil environments within the Miers and Beacon Valleys. These data were used to elucidate the input of aquatic cyanobacteria to soil communities. Thirty- eight samples were collected from a variety of soil environments including dry and moist soils, hypoliths and lake and hydroterrestrial microbial mats. The results from the ARISA and 16S rRNA clone library analysis demonstrated that diverse cyanobacterial communities exist within the mineral soils of the Miers Valley. The soil samples from Beacon Valley were depauparate in cyanobacterial signals. Within Miers Valley, significant portions ( 29% - 58%) of ARISA fragment lengths found in aquatic cyanobacterial mats were also present in soil and hypolith samples, indicating that lacustrine and hydroterrestrial cyanobacteria play a significant role in structuring soil communities. The influence of abiotic variables on the community structure of soil samples was assessed using BEST analysis. The results of BEST analysis of samples from within Miers Valley showed that total percentage of carbon content was the most important variable in explaining differences in cyanobacterial community structure. The BEST analyses indicated that four elements contributed significantly to species compositional differences between valleys. We suggest that the complete absence of lakes or ponds from Beacon Valley is a contributing factor to the low cyanobacterial component of these soils.</t>
  </si>
  <si>
    <t>[Wood, Susanna A.; Rueckert, Andreas; Cary, S. Craig] Univ Waikato, Dept Biol Sci, Thermophile Res Unit, Hamilton 2001, New Zealand; [Wood, Susanna A.] Cawthron Inst, Coastal &amp; Freshwater Grp, Nelson, New Zealand; [Cowan, Donald A.] Univ Western Cape, Dept Biotechnol, Cape Town, South Africa</t>
  </si>
  <si>
    <t>University of Waikato; Cawthron Institute; University of the Western Cape</t>
  </si>
  <si>
    <t>Cary, SC (corresponding author), Univ Waikato, Dept Biol Sci, Thermophile Res Unit, Hamilton 2001, New Zealand.</t>
  </si>
  <si>
    <t>cary@waikato.ac.nz</t>
  </si>
  <si>
    <t>Cowan, Donald A/E-3991-2012</t>
  </si>
  <si>
    <t>Cowan, Donald A/0000-0001-8059-861X; Cary, Stephen/0000-0002-2876-2387</t>
  </si>
  <si>
    <t>1751-7362</t>
  </si>
  <si>
    <t>1751-7370</t>
  </si>
  <si>
    <t>ISME J</t>
  </si>
  <si>
    <t>ISME J.</t>
  </si>
  <si>
    <t>10.1038/ismej.2007.104</t>
  </si>
  <si>
    <t>Ecology; Microbiology</t>
  </si>
  <si>
    <t>Environmental Sciences &amp; Ecology; Microbiology</t>
  </si>
  <si>
    <t>279MJ</t>
  </si>
  <si>
    <t>WOS:000254359000008</t>
  </si>
  <si>
    <t>Olabode, SO; Adekoya, JA</t>
  </si>
  <si>
    <t>Olabode, S. O.; Adekoya, J. A.</t>
  </si>
  <si>
    <t>Seismic stratigraphy and development of Avon canyon in Benin (Dahomey) basin, southwestern Nigeria</t>
  </si>
  <si>
    <t>JOURNAL OF AFRICAN EARTH SCIENCES</t>
  </si>
  <si>
    <t>canyons; seismic facies and evolution</t>
  </si>
  <si>
    <t>PENGHU SUBMARINE-CANYON; MORPHOLOGY; EVOLUTION; SYSTEM; ARCHITECTURE; MIOCENE; TAIWAN; FACIES; SLOPE</t>
  </si>
  <si>
    <t>Interpretation of a grid of high resolution seismic profiles from the offshore eastern part of the Benin (Dahomey) basin in southwestern Nigeria area permitted the identification of cyclic events of cut and fill associated with the Avon canyon. Seismic stratigraphic analysis was carried out to evaluate the canyon morphology, origin and evolution. At least three generations of ancient submarine canyons and a newly formed submarine canyon have been identified. Seismic reflection parameters of the ancient canyons are characterized by transparent to slightly transparent, continuous to slightly discontinuous, high to moderate amplitude and parallel to sub-parallel reflections. Locally, high amplitude and chaotic reflections were observed. The reflection configurations consist of regular oblique, chaotic oblique, progradational and parallel to sub-parallel types. These seismic reflection characteristics are probably due to variable sedimentation processes within the canyons, which were affected by mass wasting. Canyon morphological features include step-wise and spoon-shaped wall development, deep valley incision, a V-shaped valley, similar orientation in the southeast direction, and simple to complex erosion features in the axial floor. The canyons have a composite origin, caused partly by lowering of the sea level probably associated with the formation of the Antarctic Ice Sheet about 30 Ma ago and partly by complex sedimentary processes. Regional correlation with geological ages using the reflectors show that the canyons cut through the Cretaceous and lower Tertiary sediments while the sedimentary infill of the canyon is predominantly Miocene and younger. Gravity-driven depositional processes, downward excavation by down slope sediment flows, mass wasting from the canyon walls and variation in terrigenous sediment supply have played significant roles in maintaining the canyons. These canyons were probably conduits for sediment transport to deep-waters in the Gulf of Guinea during their period of formation. (c) 2007 Elsevier Ltd. All rights reserved.</t>
  </si>
  <si>
    <t>[Olabode, S. O.; Adekoya, J. A.] Fed Univ Technol, Dept Appl Geol, Ondo, Nigeria</t>
  </si>
  <si>
    <t>Olabode, SO (corresponding author), Fed Univ Technol, Dept Appl Geol, PMB 704, Ondo, Nigeria.</t>
  </si>
  <si>
    <t>bodesolomon@yahoo.com; dekoya2002@yahoo.com</t>
  </si>
  <si>
    <t>1464-343X</t>
  </si>
  <si>
    <t>1879-1956</t>
  </si>
  <si>
    <t>J AFR EARTH SCI</t>
  </si>
  <si>
    <t>J. Afr. Earth Sci.</t>
  </si>
  <si>
    <t>10.1016/j.jafrearsci.2007.10.002</t>
  </si>
  <si>
    <t>330GS</t>
  </si>
  <si>
    <t>WOS:000257929300002</t>
  </si>
  <si>
    <t>Cockburn, A; Osmond, HL; Mulder, RA; Double, MC; Green, DJ</t>
  </si>
  <si>
    <t>Cockburn, Andrew; Osmond, Helen L.; Mulder, Raoul A.; Double, Michael C.; Green, David J.</t>
  </si>
  <si>
    <t>Demography of male reproductive queues in cooperatively breeding superb fairy-wrens Malurus cyaneus</t>
  </si>
  <si>
    <t>JOURNAL OF ANIMAL ECOLOGY</t>
  </si>
  <si>
    <t>cooperative breeding; dominance; helper; Malurus; reproductive queue</t>
  </si>
  <si>
    <t>DELAYED DISPERSAL; SOCIAL-ORGANIZATION; ANIMAL SOCIETIES; TROPICAL WRENS; SHORT-DISTANCE; MATE CHOICE; DOMINANCE; SKEW; INHERITANCE; FEMALE</t>
  </si>
  <si>
    <t>1. Subordinate helpers in cooperative societies may gain both immediate and future benefits, including paternity and territorial inheritance. However, if such opportunities correlate with rank in the queue, it is unclear why such queues should be stable. 2. In cooperatively breeding superb fairy-wrens Malurus cyaneus, only males are generally philopatric, and form stable hierarchical queues for the dominant position. 3. Male opportunities for reproduction are influenced both by their dominance status within the group, and their relatedness to the breeding female. For young queuing subordinates, the breeding female is typically their mother. Because of incest avoidance, reproduction is possible only through extra-group mating, even if the dominant position is achieved while the mother is still on the territory. If the mother dies while the helper is still a subordinate, he can seek matings both outside the group, and with the unrelated replacement female within the group. Finally, males can achieve the dominant position and pair with an unrelated female by inheritance, dispersal to a neighbouring vacancy, or by forming a liaison with an immigrant subordinate female that causes fission of the natal territory. 4. On average males spent more time living with unrelated females than with their mother. Subordinate males gained no survival advantages when living with their mother rather than an unrelated female, contrary to the prediction that parents facilitate the survival of their offspring. 5. Dominants and subordinates also had similar survival. Mortality accelerated over time, probably because older males invest more in extra-group courtship display. 6. Fairy-wren queues are likely to be stable because older birds are superior, and because extra-pair mating provides direct benefits to subordinates.</t>
  </si>
  <si>
    <t>[Cockburn, Andrew; Osmond, Helen L.; Mulder, Raoul A.; Double, Michael C.; Green, David J.] Australian Natl Univ, Evolutionary Ecol Grp, Sch Bot &amp; Zool, Canberra, ACT 0200, Australia; [Cockburn, Andrew] Univ Cape Town, Percy Fitzpatrick Inst African Ornithol, DST NRF Ctr Excellence, ZA-7701 Rondebosch, South Africa; [Mulder, Raoul A.] Univ Melbourne, Dept Zool, Parkville, Vic 3052, Australia; [Double, Michael C.] Australian Govt Antarctic Div, Kingston, Tas 7050, Australia; [Green, David J.] Simon Fraser Univ, Ctr Wildlife Ecol, Burnaby, BC V5A 1S6, Canada</t>
  </si>
  <si>
    <t>Australian National University; University of Cape Town; National Research Foundation - South Africa; University of Melbourne; Australian Antarctic Division; Simon Fraser University</t>
  </si>
  <si>
    <t>Cockburn, A (corresponding author), Australian Natl Univ, Evolutionary Ecol Grp, Sch Bot &amp; Zool, Canberra, ACT 0200, Australia.</t>
  </si>
  <si>
    <t>Johnstone, Audra/C-8158-2009; Green, David J/B-5096-2012</t>
  </si>
  <si>
    <t>WILEY-BLACKWELL PUBLISHING, INC</t>
  </si>
  <si>
    <t>0021-8790</t>
  </si>
  <si>
    <t>J ANIM ECOL</t>
  </si>
  <si>
    <t>J. Anim. Ecol.</t>
  </si>
  <si>
    <t>10.1111/j.1365-2656.2007.01335.x</t>
  </si>
  <si>
    <t>Ecology; Zoology</t>
  </si>
  <si>
    <t>Environmental Sciences &amp; Ecology; Zoology</t>
  </si>
  <si>
    <t>257PG</t>
  </si>
  <si>
    <t>WOS:000252810400012</t>
  </si>
  <si>
    <t>Devi, B; Dubey, S; Saini, S; Devi, R; Wahi, R; Dhar, A; Vijay, SK; Gwal, AK</t>
  </si>
  <si>
    <t>Devi, Babita; Dubey, Smita; Saini, Shailendra; Devi, Rajni; Wahi, Rashmi; Dhar, Ajay; Vijay, S. K.; Gwal, A. K.</t>
  </si>
  <si>
    <t>Geomagnetic field variation during winter storm at localized Southern and Northern high latitude</t>
  </si>
  <si>
    <t>JOURNAL OF ASTROPHYSICS AND ASTRONOMY</t>
  </si>
  <si>
    <t>International Conference on Challenges for Solar Cycle 24</t>
  </si>
  <si>
    <t>JAN 22-25, 2007</t>
  </si>
  <si>
    <t>Ahmedabad, INDIA</t>
  </si>
  <si>
    <t>Dst; vertical component of interplanetary magnetic field and geomagnetic field components</t>
  </si>
  <si>
    <t>RING CURRENT; SUBSTORMS</t>
  </si>
  <si>
    <t>This paper presents the effect of geomagnetic storm on geomagnetic field components at Southern (Maitri) and Northern (Kiruna) Hemispheres. The Indian Antarctic Station Maitri is located at geom. long. 66.03 degrees S; 53.21 degrees E whereas Kiruna is located at geom. long. 67.52 degrees N; 23.38 degrees E. We have studied all the geomagnetic storms that occurred during winter season of the year 2004-2005. We observed that at Southern Hemisphere the variation is large as compared to the Northern Hemisphere. Geomagnetic field components vary when the interplanetary magnetic field is oriented in southward direction. Geomagnetic field components vary in the main phase of the ring current. Due to southward orientation of vertical component of IMF reconnection takes place all across the dayside that transports plasma and magnetic flux which create the geomagnetic field variation.</t>
  </si>
  <si>
    <t>[Devi, Babita; Dubey, Smita; Saini, Shailendra; Devi, Rajni; Wahi, Rashmi; Gwal, A. K.] Barkatullah Univ, Dept Phys, Space Sci Lab, Bhopal 462026, India; [Vijay, S. K.] Govt Geetanjali Coll, Bhopal, India; [Dhar, Ajay] Indian Inst Geomagnetism, Bombay 400005, Maharashtra, India</t>
  </si>
  <si>
    <t>Barkatullah University; Department of Science &amp; Technology (India); Indian Institute of Geomagnetism (IIG)</t>
  </si>
  <si>
    <t>Devi, B (corresponding author), Barkatullah Univ, Dept Phys, Space Sci Lab, Bhopal 462026, India.</t>
  </si>
  <si>
    <t>0250-6335</t>
  </si>
  <si>
    <t>J ASTROPHYS ASTRON</t>
  </si>
  <si>
    <t>J. Astrophys. Astron.</t>
  </si>
  <si>
    <t>MAR-JUN</t>
  </si>
  <si>
    <t>10.1007/s12036-008-0036-8</t>
  </si>
  <si>
    <t>345KU</t>
  </si>
  <si>
    <t>WOS:000258996500036</t>
  </si>
  <si>
    <t>Krinner, G; Guicherd, B; Ox, K; Genthon, C; Magand, O</t>
  </si>
  <si>
    <t>Krinner, Gerhard; Guicherd, Berangere; Ox, Katia; Genthon, Christophe; Magand, Olivier</t>
  </si>
  <si>
    <t>Influence of oceanic boundary conditions in simulations of Antarctic climate and surface mass balance change during the coming century</t>
  </si>
  <si>
    <t>GENERAL-CIRCULATION MODEL; GREENLAND ICE-SHEET; SEA-ICE; SNOW ACCUMULATION; EAST ANTARCTICA; ATMOSPHERIC CO2; ANNULAR MODE; VARIABILITY; PRECIPITATION; SENSITIVITY</t>
  </si>
  <si>
    <t>This article reports on high-resolution (60 km) atmospheric general circulation model simulations of the Antarctic climate for the periods 1981-2000 and 2081-2100. The analysis focuses on the surface mass balance change, one of the components of the total ice sheet mass balance, and its impact on global eustatic sea level. Contrary to previous simulations, in which the authors directly used sea surface boundary conditions produced by a coupled ocean-atmosphere model for the last decades of both centuries, an anomaly method was applied here in which the present-day simulations use observed sea surface conditions, while the simulations for the end of the twenty-first century use the change in sea surface conditions taken from the coupled simulations superimposed on the present-day observations. It is shown that the use of observed oceanic boundary conditions clearly improves the simulation of the present-day Antarctic climate, compared to model runs using boundary conditions from a coupled climate model. Moreover, although the spatial patterns of the simulated climate change are similar, the two methods yield significantly different estimates of the amplitude of the future climate and surface mass balance change over the Antarctic continent. These differences are of similar magnitude as the intermodel dispersion in the current Intergovernmental Panel on Climate Change (IPCC) exercise: selecting a method for generating boundary conditions for a high-resolution model may be just as important as selecting the climate model itself. Using the anomaly method, the simulated mean surface mass balance change over the grounded ice sheet from 1981-2000 to 2081-2100 is 43-mm water equivalent per year, corresponding to a eustatic sea level decrease of 1.5 mm yr(-1). A further result of this work is that future continental-mean surface mass balance changes are dominated by the coastal regions, and that high-resolution models, which better resolve coastal processes, tend to predict stronger precipitation changes than models with lower spatial resolution.</t>
  </si>
  <si>
    <t>[Krinner, Gerhard; Guicherd, Berangere; Ox, Katia; Genthon, Christophe; Magand, Olivier] Lab Glaciol &amp; Geophys Environm, CNRS, UJF Grenoble, F-38402 St Martin Dheres, France</t>
  </si>
  <si>
    <t>Krinner, G (corresponding author), Lab Glaciol &amp; Geophys Environm, CNRS, UJF Grenoble, BP 96, F-38402 St Martin Dheres, France.</t>
  </si>
  <si>
    <t>krinner@ujf-grenoble.fr</t>
  </si>
  <si>
    <t>Krinner, Gerhard/A-6450-2011; Krinner, Gerhard/AAB-8837-2022</t>
  </si>
  <si>
    <t>Krinner, Gerhard/0000-0002-2959-5920</t>
  </si>
  <si>
    <t>10.1175/2007JCLI1690.1</t>
  </si>
  <si>
    <t>278DK</t>
  </si>
  <si>
    <t>Green Published, hybrid</t>
  </si>
  <si>
    <t>WOS:000254263700006</t>
  </si>
  <si>
    <t>Borman, AM; Petch, R; Linton, CJ; Palmer, MD; Bridge, PD; Johnson, EM</t>
  </si>
  <si>
    <t>Borman, Andrew M.; Petch, Rebecca; Linton, Christopher J.; Palmer, Michael D.; Bridge, Paul D.; Johnson, Elizabeth M.</t>
  </si>
  <si>
    <t>Candida nivariensis, an emerging pathogenic fungus with multidrug resistance to antifungal agents</t>
  </si>
  <si>
    <t>JOURNAL OF CLINICAL MICROBIOLOGY</t>
  </si>
  <si>
    <t>NOSOCOMIAL CANDIDA; AUXACOLOR SYSTEM; YEAST; IDENTIFICATION; EPIDEMIOLOGY; SUSCEPTIBILITY; ALBICANS</t>
  </si>
  <si>
    <t>In 2005, Candida nivariensis, a yeast species genetically related to Candida glabrata, was described following its isolation from three patients in a single Spanish hospital. Between 2005 and 2006, 16 fungal isolates with phenotypic similarities to C nivariensis were submitted to the United Kingdom Mycology Reference Laboratory for identification. The strains originated from various clinical specimens, including deep, usually sterile sites, from patients at 12 different hospitals in the United Kingdom. PCR amplification and sequencing of the D1D2 and internal transcribed spacer 1 (ITS1) regions of the nuclear ribosomal gene cassette confirmed that these isolates from the United Kingdom are genetically identical to C. nivariensis. Biochemically, C. glabrata and C. nivariensis are distinguished by their differential abilities to assimilate trehalose. However, in contrast to the original published findings, we found that C. glabrata isolates, but not C. nivariensis isolates, are capable of assimilating this substrate. Antifungal susceptibility tests revealed that C. nivariensis isolates are less susceptible than C. glabrata isolates to itraconazole, fluconazole, and voriconazole and to have significantly higher flucytosine MICs than C. glabrata strains. Finally, C. nivariensis could be rapidly distinguished from the other common pathogenic fungus species by pyrosequencing of the ITS2 region. In the light of these data, we believe that C. nivariensis should be regarded as a clinically important emerging pathogenic fungus.</t>
  </si>
  <si>
    <t>[Borman, Andrew M.; Linton, Christopher J.; Palmer, Michael D.; Johnson, Elizabeth M.] HPA, SW Reg Lab, Mycol Reference Lab, Bristol BS2 8EL, Avon, England; [Petch, Rebecca] Univ Bristol, Dept Pathol &amp; Microbiol, Bristol, Avon, England; [Bridge, Paul D.] British Antarctic Survey, Cambridge CB3 0ET, England</t>
  </si>
  <si>
    <t>Health Protection Agency; University of Bristol; UK Research &amp; Innovation (UKRI); Natural Environment Research Council (NERC); NERC British Antarctic Survey</t>
  </si>
  <si>
    <t>Borman, AM (corresponding author), HPA, SW Reg Lab, Mycol Reference Lab, Myrtle Rd, Bristol BS2 8EL, Avon, England.</t>
  </si>
  <si>
    <t>Andy.Borman@ubht.nhs.uk</t>
  </si>
  <si>
    <t>Borman, Andy/H-3663-2019</t>
  </si>
  <si>
    <t>Borman, Andy/0000-0003-0585-5721; Palmer, Michael/0000-0003-1136-8962</t>
  </si>
  <si>
    <t>0095-1137</t>
  </si>
  <si>
    <t>1098-660X</t>
  </si>
  <si>
    <t>J CLIN MICROBIOL</t>
  </si>
  <si>
    <t>J. Clin. Microbiol.</t>
  </si>
  <si>
    <t>10.1128/JCM.02116-07</t>
  </si>
  <si>
    <t>275GL</t>
  </si>
  <si>
    <t>WOS:000254059800017</t>
  </si>
  <si>
    <t>Clarke, LJ; Ayre, DJ; Robinson, SA</t>
  </si>
  <si>
    <t>Clarke, Laurence J.; Ayre, David J.; Robinson, Sharon A.</t>
  </si>
  <si>
    <t>Somatic mutation and the Antarctic ozone hole</t>
  </si>
  <si>
    <t>JOURNAL OF ECOLOGY</t>
  </si>
  <si>
    <t>Antarctica; Ceratodon purpureus; climate change; clonal; genetic variation; microsatellites; ozone depletion; RAPDs; somatic mutation; Windmill Islands</t>
  </si>
  <si>
    <t>MOSS CERATODON-PURPUREUS; GENETIC DIVERSITY; ULTRAVIOLET-RADIATION; B RADIATION; DNA-DAMAGE; PLANTS; MUTAGENESIS; GRADIENT; IMPACTS</t>
  </si>
  <si>
    <t>1. Previous studies of Antarctic clonal moss populations using RAPD markers have reported extraordinarily high levels of genetic variation. This has been claimed to reflect somatic mutation, possibly resulting from elevated UV-B radiation. 2. Our study used microsatellite markers to compare the genetic variation present within continental Antarctic, sub-Antarctic and temperate populations of the moss Ceratodon purpureus. 3. In contrast to the RAPD studies, microsatellite data revealed that C. purpureus populations from continental Antarctica display less intra-population genetic diversity than populations from a range of temperate and sub-Antarctic sites. 4. Analysis of molecular variation (AMOVA) revealed that populations within the Windmill Islands region of Antarctica were more genetically differentiated than populations spread among more widely separated temperate regions. 5. Synthesis. Our data provide no evidence of elevated mutation rates in the Antarctic, and imply climate change will present ongoing challenges for continental Antarctic moss populations that appear weakly interconnected and with less potential than temperate populations to adapt to environmental change.</t>
  </si>
  <si>
    <t>[Clarke, Laurence J.; Ayre, David J.; Robinson, Sharon A.] Univ Wollongong, Inst Conservat Biol, Wollongong, NSW 2522, Australia</t>
  </si>
  <si>
    <t>Clarke, LJ (corresponding author), Univ Wollongong, Inst Conservat Biol, Wollongong, NSW 2522, Australia.</t>
  </si>
  <si>
    <t>ljc03@uow.edu.au</t>
  </si>
  <si>
    <t>Clarke, Laurence/N-3579-2017; Robinson, Sharon/B-2683-2008; Ayre, David J/A-8761-2008</t>
  </si>
  <si>
    <t>Clarke, Laurence/0000-0002-0844-4453; Robinson, Sharon/0000-0002-7130-9617;</t>
  </si>
  <si>
    <t>0022-0477</t>
  </si>
  <si>
    <t>1365-2745</t>
  </si>
  <si>
    <t>J ECOL</t>
  </si>
  <si>
    <t>J. Ecol.</t>
  </si>
  <si>
    <t>10.1111/j.1365-2745.2007.01347.x</t>
  </si>
  <si>
    <t>Plant Sciences; Ecology</t>
  </si>
  <si>
    <t>Plant Sciences; Environmental Sciences &amp; Ecology</t>
  </si>
  <si>
    <t>258WA</t>
  </si>
  <si>
    <t>WOS:000252899300014</t>
  </si>
  <si>
    <t>Woods, HA; Moran, AL</t>
  </si>
  <si>
    <t>Woods, H. Arthur; Moran, Amy L.</t>
  </si>
  <si>
    <t>Oxygen profiles in egg masses predicted from a diffusion-reaction model</t>
  </si>
  <si>
    <t>oxygen; diffusion coefficient; egg mass; metabolism; nudibranch; size; Antarctic; embryo</t>
  </si>
  <si>
    <t>AMPHIBIAN EGGS; CLUTCH SIZE; EMBRYOS; TEMPERATURE; CONSTRAINTS; TRANSPORT; CAPSULES</t>
  </si>
  <si>
    <t>We developed a novel diffusion-reaction model to describe spatial and temporal changes in oxygen concentrations in gelatinous egg masses containing live, respiring embryos. We used the model in two ways. First, we constructed artificial egg masses of known metabolic density using embryos of the Antarctic sea urchin Sterechnius neumayeri, measured radial oxygen profiles at two temperatures, and compared our measurements to simulated radial oxygen profiles generated by the model. We parameterized the model by measuring the radius of the artificial masses, metabolic densities (=embryo metabolic rate x embryo density) and oxygen diffusion coefficients at both ambient (-1.5 degrees C) or slightly warmer (+1.5-2 degrees C) temperatures. Simulated and measured radial oxygen profiles were similar, indicating that the model captured the major biological features determining oxygen distributions. Second, we used the model to analyze sources of error in step-change experiments for determining oxygen diffusion coefficients (D), and to determine the suitability of simpler, analytical equations for estimating D. Our analysis indicated that embryo metabolism can lead to large (several-fold) overestimates of D if the analytical equation is fitted to step-down-traces of central oxygen concentration (i.e. external oxygen concentration stepped from some high value to zero). However, good estimates of D were obtained from step-up-traces. We used these findings to estimate D in egg masses of three species of nudibranch molluscs: two Antarctic species (Tritonia challengeriana and Tritoniella belli; -1.5 and +2 degrees C) and one temperate Pacific species (Tritonia diomedea; 12 and 22 degrees C). D for all three species was approximately 8 x 10(-6) cm(2) s(-1), and there was no detectable effect of temperature on estimated D. For the Antarctic species, D in egg masses was 70-90% of its value in seawater of similar temperature.</t>
  </si>
  <si>
    <t>[Woods, H. Arthur] Univ Montana, Div Biol Sci, Missoula, MT 59812 USA; [Moran, Amy L.] Clemson Univ, Dept Biol Sci, Clemson, SC 29634 USA</t>
  </si>
  <si>
    <t>University of Montana System; University of Montana; Clemson University</t>
  </si>
  <si>
    <t>Woods, HA (corresponding author), Univ Montana, Div Biol Sci, Missoula, MT 59812 USA.</t>
  </si>
  <si>
    <t>art.woods@mso.umt.edu</t>
  </si>
  <si>
    <t>Moran, Amy L/F-7072-2011</t>
  </si>
  <si>
    <t>Moran, Amy/0000-0002-0604-5096</t>
  </si>
  <si>
    <t>10.1242/jeb.014613</t>
  </si>
  <si>
    <t>263DA</t>
  </si>
  <si>
    <t>WOS:000253196600026</t>
  </si>
  <si>
    <t>Temperature-oxygen interactions in Antarctic nudibranch egg masses</t>
  </si>
  <si>
    <t>Antarctica; Southern Ocean; McMurdo Sound; oxygen; diffusion; egg mass; nudibranch; marine; temperature; global warming; size; polar gigantism; Tritonia</t>
  </si>
  <si>
    <t>EMBRYONIC-DEVELOPMENT; DEPENDENT BIOGEOGRAPHY; THERMAL TOLERANCE; CLIMATE-CHANGE; CLUTCH SIZE; LARVAE; RESPIRATION; MORPHOLOGY; BIOLOGY; LIMITS</t>
  </si>
  <si>
    <t>The Southern Ocean is one of the coldest, most stable marine environments on Earth and represents a unique environment for investigating metabolic consequences of low temperature. Here we test predictions of a new diffusion-reaction model of O-2 distributions in egg masses, using egg masses of the Antarctic nudibranch mollusk, Tritonia challengeriana. When warmed from -1.5 degrees to + 1.5 degrees C, embryos of T. challengeriana showed large increases in O-2 consumption (Q(10) values of 9.6-30.0). Oxygen electrode measurements in intact masses showed, however, that O2 levels were high throughout and virtually unaffected by temperature. The model suggested that both effects stemmed from very low metabolic densities in egg masses. Detailed morphological measurements of egg masses of T. challengeriana and a temperate congener, T. diomedea, revealed large differences in structure that may be related to O-2 availability. Egg masses of T. challengeriana were approximately twice as thick. However, the most dramatic effects were observed in embryos: embryos of T. challengeriana were &gt;32 times larger (by volume) than embryos of T. diomedea. Antarctic embryos also were contained singly in large egg capsules (similar to 500 mu m diameter). Consequently, Antarctic embryos occurred at much lower densities, with very low metabolic densities.</t>
  </si>
  <si>
    <t>COMPANY BIOLOGISTS LTD</t>
  </si>
  <si>
    <t>BIDDER BUILDING, STATION RD, HISTON, CAMBRIDGE CB24 9LF, ENGLAND</t>
  </si>
  <si>
    <t>10.1242/jeb.014621</t>
  </si>
  <si>
    <t>WOS:000253196600027</t>
  </si>
  <si>
    <t>Mintenbeck, K; Brey, T; Jacob, U; Knust, R; Struck, U</t>
  </si>
  <si>
    <t>Mintenbeck, K.; Brey, T.; Jacob, U.; Knust, R.; Struck, U.</t>
  </si>
  <si>
    <t>How to account for the lipid effect on carbon stable-isotope ratio (δ13C):: sample treatment effects and model bias</t>
  </si>
  <si>
    <t>JOURNAL OF FISH BIOLOGY</t>
  </si>
  <si>
    <t>carbon; C : N ratio; lipid extraction; mathematical lipid normalization; nitrogen; stable isotopes</t>
  </si>
  <si>
    <t>FOOD-WEB STRUCTURE; ANTARCTIC FISH; AMINO-ACIDS; CHEMICAL-COMPOSITION; NOTOTHENIOID FISHES; TROPHIC STRUCTURE; NITROGEN; TISSUES; MARINE; FRACTIONATION</t>
  </si>
  <si>
    <t>This study investigated the impact of lipid extraction, CaCO3 removal and of both treatments combined on fish tissue delta C-13, delta N-15 and C:N ratio. Furthermore, the suitability of empirical delta C-13 lipid normalization and correction models was examined. delta N-15 was affected by lipid extraction (increase of up to 1.65 parts per thousand) and by the combination of both treatments, while acidification alone showed no effect. The observed shift in delta N-15 represents a significant bias in trophic level estimates, i.e. lipid-extracted samples are not suitable for delta N-15 analysis. C:N and delta C-13 were significantly affected by lipid extraction, proportional to initial tissue lipid content. For both variables, rates of change with lipid content (Delta C:N and Delta delta C-13) were species specific. All tested lipid normalization and correction models produced biased estimates of fish tissue delta C-13, probably due to a non-representative database and incorrect assumptions and generalizations the models were based on. Improved models need a priori more extensive and detailed studies of the relationships between lipid content, C:N and delta C-13, as well as of the underlying biochemical processes. (c) 2008 The Authors Journal compilation (c) 2008 The Fisheries Society of the British Isles.</t>
  </si>
  <si>
    <t>[Mintenbeck, K.; Brey, T.; Knust, R.] Alfred Wegener Inst Polar &amp; Marine Res, D-27515 Bremerhaven, Germany; [Jacob, U.] Natl Univ Ireland Univ Coll Cork, Distillery Fields, Dept Zool Ecol &amp; Plant Sci, Cork, Ireland; [Jacob, U.] Natl Univ Ireland Univ Coll Cork, Environm Res Inst, Cork, Ireland; [Struck, U.] Humboldt Univ, Museum Nat Hist Berlin, D-10115 Berlin, Germany</t>
  </si>
  <si>
    <t>Helmholtz Association; Alfred Wegener Institute, Helmholtz Centre for Polar &amp; Marine Research; University College Cork; University College Cork; Humboldt University of Berlin</t>
  </si>
  <si>
    <t>Mintenbeck, K (corresponding author), Alfred Wegener Inst Polar &amp; Marine Res, POB 120161, D-27515 Bremerhaven, Germany.</t>
  </si>
  <si>
    <t>Katja.Mintenbeck@awi.de</t>
  </si>
  <si>
    <t>Jacob, Ute/F-8179-2011; Jacob, Ute/H-3089-2018</t>
  </si>
  <si>
    <t>Mintenbeck, Katja/0000-0002-3239-6308; Brey, Thomas/0000-0002-6345-2851</t>
  </si>
  <si>
    <t>0022-1112</t>
  </si>
  <si>
    <t>J FISH BIOL</t>
  </si>
  <si>
    <t>J. Fish Biol.</t>
  </si>
  <si>
    <t>10.1111/j.1095-8649.2007.01754.x</t>
  </si>
  <si>
    <t>Fisheries; Marine &amp; Freshwater Biology</t>
  </si>
  <si>
    <t>267AD</t>
  </si>
  <si>
    <t>WOS:000253479300003</t>
  </si>
  <si>
    <t>Pérez-Casanova, JC; Afonso, LOB; Johnson, SC; Currie, S; Gamperl, AK</t>
  </si>
  <si>
    <t>Perez-Casanova, J. C.; Afonso, L. O. B.; Johnson, S. C.; Currie, S.; Gamperl, A. K.</t>
  </si>
  <si>
    <t>The stress and metabolic responses of juvenile Atlantic cod Gadus morhua L. to an acute thermal challenge</t>
  </si>
  <si>
    <t>Atlantic cod; cortisol; glucose; oxygen consumption; stress; thermotolerance</t>
  </si>
  <si>
    <t>HADDOCK MELANOGRAMMUS-AEGLEFINUS; SHOCK-PROTEIN EXPRESSION; HEAT-SHOCK; INTRACELLULAR-LOCALIZATION; TEMPERATURE CONDITIONS; TREMATOMUS-BERNACCHII; PHYSIOLOGICAL STRESS; ONCORHYNCHUS-MYKISS; OXYGEN LIMITATION; ANTARCTIC FISH</t>
  </si>
  <si>
    <t>Survival, oxygen consumption (Mo-2), total plasma cortisol and glucose levels and gill heat-shock protein 70 (hsp70) expression were measured in 10 and 50 g juvenile Atlantic cod Gadus morhua during an acute temperature increase (2 degrees C h(-1)) to their critical thermal maximum. Ninety three per cent of the fish in both size classes survived to 24 C; however, mortality was 100% within 15 min of reaching this temperature. The Mo-2 for both size classes increased significantly with temperature, reaching peak values at 22 degrees C that were c. 2.8-fold those of control (10 degrees C) fish. Resting plasma cortisol and glucose levels were lower in 10 g as compared to 50 g fish. Plasma glucose levels were highly variable in both size classes, and significant increases were only seen at &gt; 22 degrees C for the 10 g fish. In contrast, plasma cortisol showed an exponential increase with temperature starting at 16 C in both size classes, and reached maximum levels at 22 C that were 19-fold (10 g fish) and 35-fold (50 g fish) higher than their respective control groups. Both the constitutive (73 kDa) and inducible (72 kDa) isoforms of hsp70 were detected in both size classes using the widely utilized mouse monoclonal antibody. Expression of these isoforms, however, did not change when Atlantic cod were exposed to elevated temperature, and the 72 kDa isoform was not detected using salmonid-specific antibodies. These results indicate that juvenile Atlantic cod are very sensitive to acute increases in water temperature. In addition, they ( 1) show that Mo-2 and plasma cortisol, but not plasma glucose or gill hsp 70 levels, are sensitive indicators of thermal stress in Atlantic cod and ( 2) support previous reports that the upper critical temperature for this species is 16 C. (c) 2008 The Authors Journal compilation (c) 2008 The Fisheries Society of the British Isles.</t>
  </si>
  <si>
    <t>[Perez-Casanova, J. C.; Gamperl, A. K.] Mem Univ Newfoundland, Ctr Ocean Sci, St John, NF A1C 5S7, Canada; [Afonso, L. O. B.; Johnson, S. C.] Natl Res Council Canada, Inst Marine Biosci, Halifax, NS B3H 3Z1, Canada; [Currie, S.] Mt Allison Univ, Dept Biol, Sackville, NB E4L 1G7, Canada</t>
  </si>
  <si>
    <t>Memorial University Newfoundland; National Research Council Canada; International Business Machines (IBM); Mount Allison University</t>
  </si>
  <si>
    <t>Gamperl, AK (corresponding author), Mem Univ Newfoundland, Ctr Ocean Sci, St John, NF A1C 5S7, Canada.</t>
  </si>
  <si>
    <t>kgamperl@mun.ca</t>
  </si>
  <si>
    <t>Afonso, Luis O.B/B-8171-2013</t>
  </si>
  <si>
    <t>Afonso, Luis Orlando Bertolla/0000-0002-5905-1131</t>
  </si>
  <si>
    <t>1095-8649</t>
  </si>
  <si>
    <t>10.1111/j.1095-8649.2007.01763.x</t>
  </si>
  <si>
    <t>WOS:000253479300008</t>
  </si>
  <si>
    <t>Hunter, RL; Halanych, KM</t>
  </si>
  <si>
    <t>Hunter, Rebecca L.; Halanych, Kenneth M.</t>
  </si>
  <si>
    <t>Evaluating connectivity in the brooding brittle star Astrotoma agassizii across the drake passage in the Southern Ocean</t>
  </si>
  <si>
    <t>JOURNAL OF HEREDITY</t>
  </si>
  <si>
    <t>ANTARCTIC CIRCUMPOLAR CURRENT; MITOCHONDRIAL-DNA ANALYSIS; RESTRICTED GENE FLOW; POPULATION-STRUCTURE; SEA-URCHINS; VICARIANT SPECIATION; CRYPTIC SPECIATION; LARVAL DISPERSAL; SPECIES COMPLEX; INDO-PACIFIC</t>
  </si>
  <si>
    <t>Studies examining population structure and genetic diversity of benthic marine invertebrates in the Southern Ocean have emerged in recent years. However, many taxonomic groups remain largely unstudied, echinoderms being one conspicuous example. The brittle star Astrotoma agassizii is distributed widely throughout Antarctica and southern South America. This species is a brooding echinoderm and therefore may have limited dispersal capacity. In order to determine the effect of hypothesized isolating barriers in the Southern Ocean, such as depth, geographic distance, and the polar front, 2 mitochondrial DNA markers were used to compare populations from the South American and Antarctic continental shelves. Astrotoma agassizii was shown to be genetically discontinuous across the polar front. In fact, populations previously assumed to be panmictic instead represent 3 separate lineages that lack morphological distinction. However, within lineages, genetic continuity was displayed across a large geographic range (&gt; 500 km). Therefore, despite lacking a pelagic larval stage, A. agassizii can disperse across substantial geographic distance within continental shelf regions. These results indicate that geographic distance alone may not be a barrier to dispersal, but rather the combined effects of distance, depth, and the polar front act to prevent gene flow between A. agassizii populations in the Southern Ocean.</t>
  </si>
  <si>
    <t>[Hunter, Rebecca L.; Halanych, Kenneth M.] Auburn Univ, Dept Biol Sci, Auburn, AL 36849 USA</t>
  </si>
  <si>
    <t>Auburn University System; Auburn University</t>
  </si>
  <si>
    <t>Hunter, RL (corresponding author), Auburn Univ, Dept Biol Sci, 101 Rouse Life Sci Bldg, Auburn, AL 36849 USA.</t>
  </si>
  <si>
    <t>belchrl@auburn.edu</t>
  </si>
  <si>
    <t>Halanych, Kenneth/A-9480-2009</t>
  </si>
  <si>
    <t>Halanych, Kenneth/0000-0002-8658-9674</t>
  </si>
  <si>
    <t>0022-1503</t>
  </si>
  <si>
    <t>1465-7333</t>
  </si>
  <si>
    <t>J HERED</t>
  </si>
  <si>
    <t>J. Hered.</t>
  </si>
  <si>
    <t>10.1093/jhered/esm119</t>
  </si>
  <si>
    <t>Evolutionary Biology; Genetics &amp; Heredity</t>
  </si>
  <si>
    <t>278NX</t>
  </si>
  <si>
    <t>WOS:000254294700007</t>
  </si>
  <si>
    <t>Whitehouse, MJ; Korb, RE; Atkinson, A; Thorpe, SE; Gordon, M</t>
  </si>
  <si>
    <t>Whitehouse, M. J.; Korb, R. E.; Atkinson, A.; Thorpe, S. E.; Gordon, M.</t>
  </si>
  <si>
    <t>Formation, transport and decay of an intense phytoplankton bloom within the High-Nutrient Low-Chlorophyll belt of the Southern Ocean</t>
  </si>
  <si>
    <t>Antarctica; South Georgia; phytoplankton; regional variation; satellite imagery; subsurface chlorophyll maxima; nutrients; physical oceanography</t>
  </si>
  <si>
    <t>ANTARCTIC CIRCUMPOLAR CURRENT; PACIFIC SECTOR; CURRENT FRONT; GEORGIA; SEA; VARIABILITY; NORTHWEST; DYNAMICS; PRODUCTIVITY; TEMPERATURE</t>
  </si>
  <si>
    <t>The blooms associated with South Georgia coincide with the largest predicted carbon sink in the Southern Ocean. A major injection of iron and silica is required to sustain them over a long growth season that exceeds 4 months. The mechanisms for this are still poorly known but a cruise in January 2005 provided an opportunity to sample waters both upstream and downstream of the North Scotia Ridge to examine the processes involved. SeaWiFS imagery gave a misleading impression of bloom progression due to pronounced but highly regionalised subsurface chlorophyll-a (chl-a) maxima. Our combined measurements of oceanography, macronutrients, chl-a and floral composition showed that a single bloom that had seeded over the western shelf of South Georgia two months before the cruise developed into two distinct entities. Water retention and turbulent mixing south of the island led to severe nutrient depletion, low chl-a concentrations in surface waters (and in SeaWiFS images) yet pronounced subsurface maxima. By contrast the bloom over the northern shelf persisted in a shallow mixed layer, was florally different and appeared to be advected downstream into oceanic waters to the north. We found evidence for upwelling of nutrients on the upstream shelf edge of the island where the flow diverges to pass around each side of its shelf. This would provide one mechanism for the injection of iron and silica to sustain these massive South Georgia blooms and seed waters downstream for an extended growing season. (C) 2007 Elsevier B.V. All rights reserved.</t>
  </si>
  <si>
    <t>[Whitehouse, M. J.; Korb, R. E.; Atkinson, A.; Thorpe, S. E.; Gordon, M.] British Antarctic Survey, NERC, Cambridge CB3 0ET, England</t>
  </si>
  <si>
    <t>Whitehouse, MJ (corresponding author), British Antarctic Survey, NERC, High Cross,Madingley Rd, Cambridge CB3 0ET, England.</t>
  </si>
  <si>
    <t>mjwh@bas.ac.uk</t>
  </si>
  <si>
    <t>Atkinson, Angus/HOH-3417-2023</t>
  </si>
  <si>
    <t>Thorpe, Sally/0000-0002-5193-6955</t>
  </si>
  <si>
    <t>1879-1573</t>
  </si>
  <si>
    <t>10.1016/j.jmarsys.2007.05.003</t>
  </si>
  <si>
    <t>262XE</t>
  </si>
  <si>
    <t>WOS:000253180800009</t>
  </si>
  <si>
    <t>Fretwell, PT; Smith, DE; Harrison, S</t>
  </si>
  <si>
    <t>Fretwell, P. T.; Smith, D. E.; Harrison, S.</t>
  </si>
  <si>
    <t>The Last Glacial Maximum British-Irish Ice Sheet: a reconstruction using digital terrain mapping</t>
  </si>
  <si>
    <t>JOURNAL OF QUATERNARY SCIENCE</t>
  </si>
  <si>
    <t>Late Devensian; British-Irish Ice Sheet; digital terrain mapping</t>
  </si>
  <si>
    <t>LATE DEVENSIAN GLACIATION; SEA-LEVEL CHANGES; POSTGLACIAL ISOSTATIC-ADJUSTMENT; ET-AL. 2002; GREAT-BRITAIN; OUTER HEBRIDES; SCOTTISH PERSPECTIVE; DEGLACIAL CHRONOLOGY; VERTICAL DIMENSIONS; NORTHWEST SCOTLAND</t>
  </si>
  <si>
    <t>The use of digital terrain mapping in determining the anatomy of the Late Devensian British-Irish Ice Sheet at a resolution of 500m cell size is illustrated for Boulton et al.'s 1985 and 1991 models and Lambeck's 1995 model of the ice sheet at its maximum extent as an independent ice mass. Area and volume of the ice sheet are given for each model and the spatial pattern of ice thickness shown in maps. The analyses show that if no account is taken of topography beneath the ice surface, models will seriously overestimate ice volume. It is suggested that as reconstructions of the ice sheet improve, detailed models of ice thickness at the resolution given in this paper may be of value in determining the contribution of the ice sheet to sea surface changes as well as in determining the effects of ice loading on glacio-isostasy, neotectonics and possibly on paraglacial processes in areas of high relief. Copyright (C) 2007 John Wiley &amp; Sons, Ltd.</t>
  </si>
  <si>
    <t>[Fretwell, P. T.] British Antarctic Survey, Cambridge CB3 0ET, England; [Smith, D. E.] Univ Oxford, Ctr Environm, Oxford, England; [Harrison, S.] Univ Exeter, Dept Geog, Penryn, England</t>
  </si>
  <si>
    <t>UK Research &amp; Innovation (UKRI); Natural Environment Research Council (NERC); NERC British Antarctic Survey; University of Oxford; University of Exeter</t>
  </si>
  <si>
    <t>Fretwell, PT (corresponding author), British Antarctic Survey, Madingley Rd, Cambridge CB3 0ET, England.</t>
  </si>
  <si>
    <t>ptf@bas.ac.uk</t>
  </si>
  <si>
    <t>Natural Environment Research Council [bas010011, bas010013] Funding Source: researchfish; NERC [bas010013, bas010011] Funding Source: UKRI</t>
  </si>
  <si>
    <t>0267-8179</t>
  </si>
  <si>
    <t>1099-1417</t>
  </si>
  <si>
    <t>J QUATERNARY SCI</t>
  </si>
  <si>
    <t>J. Quat. Sci.</t>
  </si>
  <si>
    <t>10.1002/jqs.1143</t>
  </si>
  <si>
    <t>283YN</t>
  </si>
  <si>
    <t>WOS:000254672500004</t>
  </si>
  <si>
    <t>Rogers, M</t>
  </si>
  <si>
    <t>Rogers, Michael</t>
  </si>
  <si>
    <t>Water, ice, stone: Science and memory on the Antarctic Lakes</t>
  </si>
  <si>
    <t>LIBRARY JOURNAL</t>
  </si>
  <si>
    <t>REED BUSINESS INFORMATION</t>
  </si>
  <si>
    <t>360 PARK AVENUE SOUTH, NEW YORK, NY 10010 USA</t>
  </si>
  <si>
    <t>0363-0277</t>
  </si>
  <si>
    <t>LIBR J</t>
  </si>
  <si>
    <t>Libr. J.</t>
  </si>
  <si>
    <t>Information Science &amp; Library Science</t>
  </si>
  <si>
    <t>269AQ</t>
  </si>
  <si>
    <t>WOS:000253622300214</t>
  </si>
  <si>
    <t>Avila, C; Taboada, S; Núñez-Pons, L</t>
  </si>
  <si>
    <t>Avila, Conxita; Taboada, Sergi; Nunez-Pons, Laura</t>
  </si>
  <si>
    <t>Antarctic marine chemical ecology:: what is next?</t>
  </si>
  <si>
    <t>MARINE ECOLOGY-AN EVOLUTIONARY PERSPECTIVE</t>
  </si>
  <si>
    <t>antarctica; benthos; chemical ecology; marine organisms; natural products</t>
  </si>
  <si>
    <t>NUDIBRANCH AUSTRODORIS-KERGUELENENSIS; SPONGE KIRKPATRICKIA-VARIALOSA; BRACHIOPOD LIOTHYRELLA-UVA; FISH NOTOTHENIA-CORIICEPS; STAR PERKNASTER-FUSCUS; TUBE-FOOT RESPONSES; RED ALGA PLOCAMIUM; NATURAL-PRODUCTS; SULFATED POLYHYDROXYSTEROIDS; ENERGY CONTENT</t>
  </si>
  <si>
    <t>Antarctic ecosystems are exposed to unique environmental characteristics resulting in communities structured both by biotic interactions such as predation and competition, as well as abiotic factors such as seasonality and ice-scouring. It is important to understand how ecological factors may trigger chemical mechanisms in marine Antarctic organisms as a response for survival. However, very little is known yet about the evolution of chemical compounds in Antarctic organisms. Investigations in chemical ecology have demonstrated over the last several years that defensive metabolites have evolved in numerous representative Antarctic species. This contradicts earlier theories concerning biogeographic variation in predation and chemical defenses. As reviewed here, a number of interesting natural products have been isolated from Antarctic organisms. However, we believe many more are still to be discovered. Currently, many groups such as microorganisms, planktonic organisms and deep-sea fauna remain almost totally unknown regarding their natural products. Furthermore, for many described compounds, ecological roles have yet to be evaluated. In fact, much of the research carried out to date has been conducted in the laboratory, and only in a few cases in an ecologically relevant context. Therefore, there is a need to extend the experiments to the field, as done in tropical and temperate marine ecosystems, or at least, to test the activity of the chemicals in natural conditions and ecologically meaningful interactions. Defense against predators is always one of the main topics when talking about the roles of natural products in species interactions, but many other interesting aspects, such as competition, chemoattraction, fouling avoidance and ultraviolet (UV) protection, also deserve further attention. In our opinion, challenging future developments are to be expected for Antarctic marine chemical ecology in the years to come.</t>
  </si>
  <si>
    <t>[Avila, Conxita; Taboada, Sergi; Nunez-Pons, Laura] Univ Barcelona, Fac Biol, Dept Anim Biol Invertebrates, E-08028 Barcelona, Catalonia, Spain; [Avila, Conxita; Taboada, Sergi; Nunez-Pons, Laura] CSIC, CEAB, Girona, Catalonia, Spain</t>
  </si>
  <si>
    <t>University of Barcelona; Consejo Superior de Investigaciones Cientificas (CSIC); CSIC - Centre d'Estudis Avancats de Blanes (CEAB)</t>
  </si>
  <si>
    <t>Avila, C (corresponding author), Univ Barcelona, Fac Biol, Dept Anim Biol Invertebrates, E-08028 Barcelona, Catalonia, Spain.</t>
  </si>
  <si>
    <t>conxita.avila@ub.edu</t>
  </si>
  <si>
    <t>Taboada, Sergi/AAB-9390-2021; Avila, Conxita/B-9466-2008</t>
  </si>
  <si>
    <t>Taboada, Sergi/0000-0003-1669-1152; Avila, Conxita/0000-0002-5489-8376</t>
  </si>
  <si>
    <t>0173-9565</t>
  </si>
  <si>
    <t>1439-0485</t>
  </si>
  <si>
    <t>MAR ECOL-EVOL PERSP</t>
  </si>
  <si>
    <t>Mar. Ecol.-Evol. Persp.</t>
  </si>
  <si>
    <t>10.1111/j.1439-0485.2007.00215.x</t>
  </si>
  <si>
    <t>267DL</t>
  </si>
  <si>
    <t>WOS:000253489600001</t>
  </si>
  <si>
    <t>Volckaert, FAMJ; Barbier, M; Canário, AVM; Olsen, JL; Wesnigk, J; Clark, M; Boyen, C</t>
  </si>
  <si>
    <t>Volckaert, Filip A. M. J.; Barbier, Michele; Canario, Adelino V. M.; Olsen, Jeanine L.; Wesnigk, Johanna; Clark, Melody; Boyen, Catherine</t>
  </si>
  <si>
    <t>Empowering marine science through genomics</t>
  </si>
  <si>
    <t>MARINE GENOMICS</t>
  </si>
  <si>
    <t>Blue biotechnology; Future; Marine; Metagenomics; Ocean; Opinion</t>
  </si>
  <si>
    <t>SEQUENCE; OCEAN; SEA</t>
  </si>
  <si>
    <t>Marine scientists in Europe summarize their successes with genome technologies in the marine sciences and make a plea for a concerted international effort to raise greater public education for support. (C) 2008 Elsevier B.V. All rights reserved.</t>
  </si>
  <si>
    <t>[Volckaert, Filip A. M. J.] Katholieke Univ Leuven, Lab Anim Divers &amp; Systemat, B-3000 Louvain, Belgium; [Barbier, Michele; Boyen, Catherine] CNRS, Biol Stn, F-29682 Roscoff, France; [Canario, Adelino V. M.] Univ Algarve, Ctr Marine Sci, P-8005139 Faro, Portugal; [Olsen, Jeanine L.] Univ Groningen, Ctr Biol, Dept Marine Benth Ecol &amp; Evolut, Ctr Ecol &amp; Evolutionary Studies, NL-9750 AA Haren, Netherlands; [Wesnigk, Johanna] EMPA, D-28197 Bremen, Germany; [Clark, Melody] British Antarctic Survey, Cambridge CB3 OET, England</t>
  </si>
  <si>
    <t>KU Leuven; Centre National de la Recherche Scientifique (CNRS); Universidade do Algarve; University of Groningen; UK Research &amp; Innovation (UKRI); Natural Environment Research Council (NERC); NERC British Antarctic Survey</t>
  </si>
  <si>
    <t>Volckaert, FAMJ (corresponding author), Katholieke Univ Leuven, Lab Anim Divers &amp; Systemat, Ch Deberiotstr 32, B-3000 Louvain, Belgium.</t>
  </si>
  <si>
    <t>filip.volckaert@bio.kuleuven.be</t>
  </si>
  <si>
    <t>Olsen, Jeanine L/D-3213-2013; Volckaert, Filip/AAC-7691-2019; Canario, Adelino/C-7942-2009</t>
  </si>
  <si>
    <t>Canario, Adelino/0000-0002-6244-6468; Olsen, Jeanine L./0000-0003-3091-0163; Barbier, Michele/0000-0003-3845-6233</t>
  </si>
  <si>
    <t>1874-7787</t>
  </si>
  <si>
    <t>MAR GENOM</t>
  </si>
  <si>
    <t>Mar. Genom.</t>
  </si>
  <si>
    <t>10.1016/j.margen.2008.04.001</t>
  </si>
  <si>
    <t>Genetics &amp; Heredity; Marine &amp; Freshwater Biology</t>
  </si>
  <si>
    <t>544CQ</t>
  </si>
  <si>
    <t>WOS:000273630500006</t>
  </si>
  <si>
    <t>Xie, ZQ; Zhang, PF; Sun, LG; Xu, SQ; Huang, YY; He, W</t>
  </si>
  <si>
    <t>Xie, Zhouqing; Zhang, Pengfei; Sun, Liguang; Xu, Siqi; Huang, Yuying; He, Wei</t>
  </si>
  <si>
    <t>Microanalysis of metals in barbs of a snow petrel (Pagodroma Nivea) from the Antarctica using synchrotron radiation X-ray fluorescence</t>
  </si>
  <si>
    <t>MARINE POLLUTION BULLETIN</t>
  </si>
  <si>
    <t>SR-XRF; barb; element; microanalysis; seabird; Antarctic</t>
  </si>
  <si>
    <t>PM2.5 AEROSOLS; HEAVY-METALS; FEATHERS; MERCURY; ELEMENTS; HAIR; CHEMISTRY; SEABIRDS; CADMIUM; KERATIN</t>
  </si>
  <si>
    <t>For the first time synchrotron radiation X-ray fluorescence (SR-XRF) microanalysis was performed throughout the total length of 4 single barbs from the primaries and secondaries of a snow petrel (Pagodroma Nivea) collected in the Antarctica. Thirteen elements (S, Mg, K, Ca, Fe, Ni, Cu, Zn, Se, Sr, Ba, Hg and Pb) were detected somewhere in the barbs. Variations in levels of these elements within and among the barbs were obvious, indicating nonuniform microscale distributions. Factors influencing the fluctuations of the levels of the elements were investigated using a multivariate statistical analysis method. Five factors (F1 being associated with high loadings of Ca, Sr, and Ni, F2 with high loadings of Fe and Ba, F3 with high loadings of Se and Hg, F4 with high loadings of Ca and K, and F5 with high loadings of Zn and Pb) were found to explain about 80% of the total variance. Results from the factor analysis suggested external contamination of Fe, Ba, Pb, Zn and Hg on the feathers of the snow petrel. (C) 2007 Elsevier Ltd. All rights reserved.</t>
  </si>
  <si>
    <t>[Xie, Zhouqing; Sun, Liguang; Xu, Siqi] Univ Sci &amp; Technol China, Sch Earth &amp; Space Sci, Inst Polar Environm, Hefei 230026, Anhui, Peoples R China; [Zhang, Pengfei] CUNY City Coll, Dept Earth &amp; Atmospher Sci, New York, NY 10031 USA; [Huang, Yuying; He, Wei] Chinese Acad Sci, Inst High Energy Phys, Beijing 100039, Peoples R China</t>
  </si>
  <si>
    <t>Chinese Academy of Sciences; University of Science &amp; Technology of China, CAS; City University of New York (CUNY) System; City College of New York (CUNY); Chinese Academy of Sciences; Institute of High Energy Physics, CAS</t>
  </si>
  <si>
    <t>Xie, ZQ (corresponding author), Univ Sci &amp; Technol China, Sch Earth &amp; Space Sci, Inst Polar Environm, Hefei 230026, Anhui, Peoples R China.</t>
  </si>
  <si>
    <t>zqxie@ustc.edu.cn</t>
  </si>
  <si>
    <t>Huang, Yu/KDM-9182-2024; xie, zhouqing/P-9661-2019; Zhang, Pengfei/C-2264-2013</t>
  </si>
  <si>
    <t>Zhang, Pengfei/0000-0002-1765-5965; Huang, Yuying/0000-0001-8783-198X</t>
  </si>
  <si>
    <t>0025-326X</t>
  </si>
  <si>
    <t>1879-3363</t>
  </si>
  <si>
    <t>MAR POLLUT BULL</t>
  </si>
  <si>
    <t>Mar. Pollut. Bull.</t>
  </si>
  <si>
    <t>10.1016/j.marpolbul.2007.11.015</t>
  </si>
  <si>
    <t>Environmental Sciences; Marine &amp; Freshwater Biology</t>
  </si>
  <si>
    <t>291ZV</t>
  </si>
  <si>
    <t>WOS:000255237000023</t>
  </si>
  <si>
    <t>Genge, MJ; Engrand, C; Gounelle, M; Taylor, S</t>
  </si>
  <si>
    <t>Genge, M. J.; Engrand, C.; Gounelle, M.; Taylor, S.</t>
  </si>
  <si>
    <t>The classification of micrometeorites</t>
  </si>
  <si>
    <t>INTERPLANETARY DUST PARTICLES; DEEP-SEA SPHERULES; STONY COSMIC SPHERULES; ANTARCTIC MICROMETEORITES; ATMOSPHERIC ENTRY; GRAINED MICROMETEORITES; REFRACTORY INCLUSIONS; ELEMENTAL COMPOSITION; ISOTOPIC COMPOSITIONS; HISTORICAL RECORDS</t>
  </si>
  <si>
    <t>Due to their small size, the mineralogical and chemical properties of micrometeorites (MMs) are not representative of their parent bodies on the centimeter to meter scales that are used to define parent body groups through the petrological Study of meteorites. Identifying which groups Of MM are derived From the same type of parent body is problematic and requires particles to be rigorously grouped on the basis of mineralogical, textural, and chemical properties that reflect the fundamental genetic differences between meteorite parent bodies, albeit with minimal bias towards preconceived genetic models. Specifically, the interpretation of MMs requires a rigorous and meaningful classification scheme. At present the classification of MMs is, however, at best ambiguous. A unified petrological-chemical classification scheme is proposed in the current Study and is based on observations of several thousand MMs collected from Antarctic ice.</t>
  </si>
  <si>
    <t>[Genge, M. J.] Univ London Imperial Coll Sci Technol &amp; Med, IARC, Dept Earth Sci &amp; Engn, London SW7 2AZ, England; [Genge, M. J.] Nat Hist Museum, London SW7 2BT, England; [Engrand, C.; Gounelle, M.] Univ Paris 11, Ctr Spectrometrie Nucl &amp; Spectrometrie Masse, CNRS, IN2P3, F-91405 Orsay, France; [Taylor, S.] USA, Cold Reg Res &amp; Engn Lab, Hanover, NH 03755 USA</t>
  </si>
  <si>
    <t>Imperial College London; Natural History Museum London; Natural History Museum London; Universite Paris Saclay; Centre National de la Recherche Scientifique (CNRS); CNRS - National Institute of Nuclear and Particle Physics (IN2P3); United States Department of Defense; United States Army; U.S. Army Corps of Engineers; U.S. Army Engineer Research &amp; Development Center (ERDC); Cold Regions Research &amp; Engineering Laboratory (CRREL)</t>
  </si>
  <si>
    <t>Genge, MJ (corresponding author), Univ London Imperial Coll Sci Technol &amp; Med, IARC, Dept Earth Sci &amp; Engn, Exhibit Rd, London SW7 2AZ, England.</t>
  </si>
  <si>
    <t>10.1111/j.1945-5100.2008.tb00668.x</t>
  </si>
  <si>
    <t>339GQ</t>
  </si>
  <si>
    <t>WOS:000258566500005</t>
  </si>
  <si>
    <t>Connolly, HC; Smith, C; Benedix, G; Folco, L; Righter, K; Zipfel, J; Yamaguchi, A; Aoudjehane, HC</t>
  </si>
  <si>
    <t>Connolly, Harold C., Jr.; Smith, Caroline; Benedix, Gretchen; Folco, Luigi; Righter, Kevin; Zipfel, Jutta; Yamaguchi, Akira; Aoudjehane, Hasnaa Chennaoui</t>
  </si>
  <si>
    <t>The Meteoritical Bulletin, No. 93, 2008 March</t>
  </si>
  <si>
    <t>In this edition of the Meteoritical Bulletin, 1443 approved meteorite names with their relevant data are reported, one from a specific location within Africa, 2 11 from Northwest Africa, 5 from KOR-EAMET, 598 from the Chinese Antarctic Expedition, 23 from the Americas, 151 from Asia, three from Australia, two from Europe, two from NOVA, and 447 from ANSMET that were not reported in the Meteoritical Bulletin no. 87. Also reported are 4 falls frorn the Americas. Sonic highlights of approved meteorites are 10 lunar (including NWA 5000, an 11.528 kg sample), 3 Martian, 4 irons (one from Indonesia), 2 ureilites, 5 mesosiderites, I pallasite, 6 brachinites, 3 CV3s, 4 CO3s, 8 CMs, 12 CK3s, and many more. Finally, the Committee on Nomenclature of the Meteoritical Society announces two new names series in North America.</t>
  </si>
  <si>
    <t>[Connolly, Harold C., Jr.] CUNY, Dept Phys Sci, Kingsborough Community Coll, Brooklyn, NY 11235 USA; [Connolly, Harold C., Jr.] CUNY, Grad Sch, Brooklyn, NY 11235 USA; [Connolly, Harold C., Jr.] Amer Museum Nat Hist, Dept Earth &amp; Planetary Sci, New York, NY 10024 USA; [Connolly, Harold C., Jr.] Univ Arizona, Lunar &amp; Planetary Lab, Dept Planetary Sci, Tucson, AZ 85721 USA; [Smith, Caroline; Benedix, Gretchen] Nat Hist Museum, Dept Mineral, London SW7 5BD, England; [Folco, Luigi] Museo Nazl Antartide, I-53100 Siena, Italy; [Righter, Kevin] NASA, Lyndon B Johnson Space Ctr, Houston, TX 77058 USA; [Zipfel, Jutta] Forsch Inst, Sekt Meteoritenforsch, D-60325 Frankfurt, Germany; [Zipfel, Jutta] Nat Museum Senckenberg, D-60325 Frankfurt, Germany; [Yamaguchi, Akira] Natl Inst Polar Res, Antarctic Meteorite Res Ctr, Tokyo 1738515, Japan; [Aoudjehane, Hasnaa Chennaoui] Univ Hassan II Casablanca, Fac Sci, Dept Geol, Casablanca, Morocco</t>
  </si>
  <si>
    <t>City University of New York (CUNY) System; City University of New York (CUNY) System; American Museum of Natural History (AMNH); University of Arizona; Natural History Museum London; National Aeronautics &amp; Space Administration (NASA); NASA Johnson Space Center; Senckenberg Gesellschaft fur Naturforschung (SGN); Research Organization of Information &amp; Systems (ROIS); National Institute of Polar Research (NIPR) - Japan; Hassan II University of Casablanca</t>
  </si>
  <si>
    <t>Connolly, HC (corresponding author), CUNY, Dept Phys Sci, Kingsborough Community Coll, 2001 Oriental Blvd, Brooklyn, NY 11235 USA.</t>
  </si>
  <si>
    <t>meteorite@kingsborough.edu</t>
  </si>
  <si>
    <t>Smith, Caroline/AAO-3652-2020; Folco, Luigi/AAA-6351-2020; Chennaoui, Hasnaa/KGL-7333-2024; Folco, Luigi/AAB-8586-2021; Benedix, Gretchen/L-1953-2018</t>
  </si>
  <si>
    <t>Smith, Caroline/0000-0001-7005-6470; Chennaoui, Hasnaa/0000-0001-8792-246X; Folco, Luigi/0000-0002-7276-3483; Righter, Kevin/0000-0002-6075-7908; Benedix, Gretchen/0000-0003-0990-8878</t>
  </si>
  <si>
    <t>10.1111/j.1945-5100.2008.tb00673.x</t>
  </si>
  <si>
    <t>WOS:000258566500010</t>
  </si>
  <si>
    <t>Hoffman, JI; Dasmahapatra, KK; Nichols, HJ</t>
  </si>
  <si>
    <t>Hoffman, Joseph I.; Dasmahapatra, Kanchon K.; Nichols, Hazel J.</t>
  </si>
  <si>
    <t>Ten novel polymorphic dinucleotide microsatellite loci cloned from the Antarctic fur seal Arctocephalus gazella</t>
  </si>
  <si>
    <t>MOLECULAR ECOLOGY RESOURCES</t>
  </si>
  <si>
    <t>fur seal; heterozygosity; mating system; microsatellite; Otariidae; pinniped; relatedness</t>
  </si>
  <si>
    <t>GENOTYPING ERRORS; POPULATIONS; MARKERS</t>
  </si>
  <si>
    <t>Ten new dinucleotide microsatellite loci were isolated from the Antarctic fur seal Arctocephalus gazella. These markers should prove useful for studying the reproductive ecology of Antarctic fur seals and other related pinniped species.</t>
  </si>
  <si>
    <t>[Hoffman, Joseph I.; Nichols, Hazel J.] Univ Cambridge, Dept Zool, Cambridge CB2 3EJ, England; [Dasmahapatra, Kanchon K.] UCL, Dept Biol, Galton Lab, London NW1 2HE, England</t>
  </si>
  <si>
    <t>University of Cambridge; University of London; University College London</t>
  </si>
  <si>
    <t>Hoffman, JI (corresponding author), Univ Cambridge, Dept Zool, Downing St, Cambridge CB2 3EJ, England.</t>
  </si>
  <si>
    <t>jih24@cam.ac.uk</t>
  </si>
  <si>
    <t>Nichols, Hazel/D-4737-2013; Dasmahapatra, Kanchon/AAT-3179-2021; Hoffman, Joseph/K-7725-2012</t>
  </si>
  <si>
    <t>Dasmahapatra, Kanchon Kumar/0000-0002-2840-7019; Hoffman, Joseph/0000-0001-5895-8949</t>
  </si>
  <si>
    <t>1755-098X</t>
  </si>
  <si>
    <t>1755-0998</t>
  </si>
  <si>
    <t>MOL ECOL RESOUR</t>
  </si>
  <si>
    <t>Mol. Ecol. Resour.</t>
  </si>
  <si>
    <t>10.1111/j.1471-8286.2007.01993.x</t>
  </si>
  <si>
    <t>271ZN</t>
  </si>
  <si>
    <t>WOS:000253827300057</t>
  </si>
  <si>
    <t>Cooke, PJ; Nelson, CS; Crundwell, MP</t>
  </si>
  <si>
    <t>Cooke, Penelope J.; Nelson, Campbell S.; Crundwell, Martin P.</t>
  </si>
  <si>
    <t>Miocene isotope zones, paleotemperatures, and carbon maxima events at intermediate water-depth, Site 593, Southwest Pacific</t>
  </si>
  <si>
    <t>NEW ZEALAND JOURNAL OF GEOLOGY AND GEOPHYSICS</t>
  </si>
  <si>
    <t>Tasman Sea; Miocene; DSDP Site 593; foraminifera; carbon; oxygen; stable isotopes; Mi zones; monterey excursion; carbon maxima events; watermasses</t>
  </si>
  <si>
    <t>SEA DRILLING PROJECT; MESSINIAN SALINITY CRISIS; ICE-SHEET DEVELOPMENT; SOUTHERN TASMAN SEA; LEG 90; PLANKTONIC-FORAMINIFERA; MIDDLE MIOCENE; BENTHIC FORAMINIFERA; EQUATORIAL PACIFIC; INDIAN-OCEAN</t>
  </si>
  <si>
    <t>Oxygen and carbon isotopic stratigraphies are presented from both benthic and planktic foraminifera for the late early Miocene to earliest Pliocene interval (c. 19-5 Ma) of intermediate water-depth DSDP Site 593 in the southern Tasman Sea. The benthic values are interpreted as recording Miocene Southern Component Intermediate Water, while the planktic species record the Miocene mode and surface water signals. Comparisons are made between temperate Site 593 and the intermediate-depth polar Site 747 in the southern Indian Ocean. Glacial Mi zones Mi1b-Mi6, representing extreme glacial events, are evident in both the Site 593 intermediate and surface water records. Miocene Southern Component Intermediate Water delta(18)O values are generally lighter than the Holocene equivalent (Antarctic Intermediate Water), indicating slightly warmer intermediate waters and/or less global ice volume. The benthic-planktic gradient is interpreted as indicating a less stratified Tasman Sea during the Miocene. The benthic delta(13)C record contains most of the global carbon maxima (CM) events, CM 1-7 (CM 1-6 = the Monterey Excursion). Like global deep-water records, the Tasman Sea intermediate water delta(13)C values indicate that most CM events correspond with Mi glacials, including Mi4 at Site 593, not reported previously. Intermediate waters play an important role in propagating climatic changes from the polar regions to the tropics, and the Site 593 dataset provides a full water column record of the structure of Miocene intermediate to surface watermasses prior to the modern situation.</t>
  </si>
  <si>
    <t>[Cooke, Penelope J.; Nelson, Campbell S.; Crundwell, Martin P.] Univ Waikato, Dept Earth &amp; Ocean Sci, Hamilton 3240, New Zealand; [Crundwell, Martin P.] GNS Sci, Lower Hutt 5040, New Zealand</t>
  </si>
  <si>
    <t>University of Waikato; GNS Science - New Zealand</t>
  </si>
  <si>
    <t>Nelson, CS (corresponding author), Univ Waikato, Dept Earth &amp; Ocean Sci, Private Bag 3105, Hamilton 3240, New Zealand.</t>
  </si>
  <si>
    <t>c.nelson@waikato.ac.nz</t>
  </si>
  <si>
    <t>4 PARK SQUARE, MILTON PARK, ABINGDON OX14 4RN, OXON, ENGLAND</t>
  </si>
  <si>
    <t>0028-8306</t>
  </si>
  <si>
    <t>NEW ZEAL J GEOL GEOP</t>
  </si>
  <si>
    <t>N. Z. J. Geol. Geophys.</t>
  </si>
  <si>
    <t>10.1080/00288300809509846</t>
  </si>
  <si>
    <t>Geology; Geosciences, Multidisciplinary</t>
  </si>
  <si>
    <t>290WC</t>
  </si>
  <si>
    <t>WOS:000255152500001</t>
  </si>
  <si>
    <t>Prodi, F; Belosi, F; Santachiara, G; Contini, D; Di Matteo, L; Grasso, F</t>
  </si>
  <si>
    <t>Prodi, F.; Belosi, F.; Santachiara, G.; Contini, D.; Di Matteo, L.; Grasso, F.</t>
  </si>
  <si>
    <t>Chemical composition and shape of snow crystals in Antarctica</t>
  </si>
  <si>
    <t>NUOVO CIMENTO C-COLLOQUIA AND COMMUNICATIONS IN PHYSICS</t>
  </si>
  <si>
    <t>ICE CRYSTALS; PALMER STATION; FALLING SNOW; AEROSOL; GROWTH; PHASE; VAPOR; TEMPERATURES; 0-DEGREES-C; PARTICLES</t>
  </si>
  <si>
    <t>Fresh snow samples collected in a coastal Antarctic site (Terra Nova Bay) were examined by considering both the chemical composition and ice crystal shape. Measured concentrations in snow samples show that nucleation is the dominant aerosol scavenging process. An additional contribution from phoretic forces to aerosol scavenging during growth of ice crystals can be deduced from the correlation between non sea-salt sulphate (nss-SO42-) and methanesulfonic acid (MSA) measured in snow samples. The sea-salt contribution is dominant, as usually observed in the coastal Antarctic stations. By determining sea-salt from Na+ concentration, the values of 4400 mu gl(-1); 2400 mu gl(-1); 2900 mu gl(-1); 650 mu gl(-1) were obtained for the examined samples. The NO3- / Na+ ratio in fresh snow (range 0.1-0.6), much higher than the value in sea-water (about 10(-4)), excludes a marine origin for NO3- ion, suggesting a continental and/or stratospheric source. Organic compounds (propionate, acetate, formate, MSA and glycolate) were in addition measured in snow samples. Ice crystal replicas were made by collecting crystals on microscope slides, previously covered with a thin layer of 2% formvar in chloroform. Samples were analyzed by a scanning electron microscope (SEM). A large variety of ice crystal habits (needles, hexagonal plates, crystals with branches, dendritic crystals, etc.) were observed. In the examined replicas of different events, cases are noted in which simple plates are prevalent, others in which prevalently complex crystal shapes are observed, and others again in which simple and complex crystal shapes are present simultaneously.</t>
  </si>
  <si>
    <t>[Prodi, F.; Belosi, F.; Santachiara, G.; Di Matteo, L.] CNR, Inst ISAC, Bologna, Italy; [Prodi, F.] Univ Ferrara, Dept Fis, Ferrara, Italy; [Contini, D.; Grasso, F.] CNR, Inst ISAC, Lecce, Italy</t>
  </si>
  <si>
    <t>Consiglio Nazionale delle Ricerche (CNR); Istituto di Scienze dell'Atmosfera e del Clima (ISAC-CNR); University of Ferrara; Consiglio Nazionale delle Ricerche (CNR); Istituto di Scienze dell'Atmosfera e del Clima (ISAC-CNR)</t>
  </si>
  <si>
    <t>Prodi, F (corresponding author), CNR, Inst ISAC, Bologna, Italy.</t>
  </si>
  <si>
    <t>Contini, Daniele/N-7070-2014</t>
  </si>
  <si>
    <t>Italian Antarctic Project PNRA [2004/6.7]</t>
  </si>
  <si>
    <t>Italian Antarctic Project PNRA</t>
  </si>
  <si>
    <t>This work is supported by the Italian Antarctic Project PNRA under grant 2004/6.7. The authors wish to thank Prof. R. Udisti, Chemistry Department, University of Florence, for performing chemical analysis, Mr. G. Trivellone (ISAC-CNR) and Mr. M. Tercon (ISAC-CNR) for the technical assistance provided.</t>
  </si>
  <si>
    <t>SOC ITALIANA FISICA</t>
  </si>
  <si>
    <t>BOLOGNA</t>
  </si>
  <si>
    <t>VIA SARAGOZZA, 12, I-40123 BOLOGNA, ITALY</t>
  </si>
  <si>
    <t>2037-4909</t>
  </si>
  <si>
    <t>1826-9885</t>
  </si>
  <si>
    <t>NUOVO CIM C-COLLOQ C</t>
  </si>
  <si>
    <t>Nuovo Cim. C-Colloq. Commun. Phys.</t>
  </si>
  <si>
    <t>10.1393/ncc/i2008-10289-1</t>
  </si>
  <si>
    <t>V8L1F</t>
  </si>
  <si>
    <t>WOS:000421734600004</t>
  </si>
  <si>
    <t>NUOVO CIMENTO DELLA SOCIETA ITALIANA DI FISICA C-COLLOQUIA ON PHYSICS</t>
  </si>
  <si>
    <t>ICE CRYSTALS; SEA-SALT; AEROSOL-PARTICLES; PALMER STATION; FALLING SNOW; GROWTH; PHASE; VAPOR; TEMPERATURES; 0-DEGREES-C</t>
  </si>
  <si>
    <t>Fresh snow samples collected in a, coastal Antarctic site (Terra Nova Bay) were examined by considering both the chemical composition and ice crystal shape. Measured concentrations in snow samples show that nucleation is the dominant aerosol scavenging process. An additional contribution from phoretic forces to aerosol scavenging during growth of ice crystals can be deduced from the correlation between non sea-salt sulphate (nss-SO42-) and methanesulfonic acid (MSA) measured in snow samples. The sea-salt contribution is dominant, as usually observed in the coastal Antarctic stations. By determining sea salt from Na+ concentration, the values of 4400 mu g l(-1); 2400 mu g l(-1); 650 mu g l(-1) were obtained for the examined samples. The NO3-/Na+ ratio in fresh snow (range 0.1-0.6), much higher than the value in sea-water (about 10(-4)), excludes a marine origin for NO3- ion, suggesting a continental and/or stratospheric source. Organic compounds (propionate, acetate, formate, MSA and glycolate) were in addition measured in snow samples. Ice crystal replicas were made by collecting crystals on microscope slides, previously covered with a thin layer of 2% formvar in chloroform. Samples were analyzed by a scanning electron microscope (SEM). A large variety of ice crystal habits (needles, hexagonal plates, crystals with branches, dendritic crystals, etc.) were observed. In the examined replicas of different events, cases are noted in which sample plates are prevalent, others in which prevalently complex crystal shapes are observed, and others again in which simple and complex crystal shapes are present simultaneously.</t>
  </si>
  <si>
    <t>[Prodi, F.; Belosi, F.; Santachiara, G.; Di Matteo, L.] Inst ISAC CNR, Bologna, Italy; [Prodi, F.] Univ Ferrara, Dept Fis, I-44100 Ferrara, Italy; [Contini, D.; Grasso, F.] Inst ISAC CNR, Lecce, Italy</t>
  </si>
  <si>
    <t>Prodi, F (corresponding author), Inst ISAC CNR, Bologna, Italy.</t>
  </si>
  <si>
    <t>belosi, franco/C-7580-2015</t>
  </si>
  <si>
    <t>belosi, franco/0000-0003-0089-1299</t>
  </si>
  <si>
    <t>This work is supported by the Italian Antarctic Project PNRA under grant 2004/6.7. The authors wish to thank Prof. R. UDISTI, Chemistry Department, University of Florence, for performing chemical analysis, Mr. G. TRIVELLONE (ISAC-CNR) and Mr. M. TERCON (TSAC-CNR) for the technical assistance provided.</t>
  </si>
  <si>
    <t>1124-1896</t>
  </si>
  <si>
    <t>NUOVO CIMENTO C</t>
  </si>
  <si>
    <t>Nuovo Cimento Soc. Ital. Fis. C-Colloq. Phys.</t>
  </si>
  <si>
    <t>393PZ</t>
  </si>
  <si>
    <t>WOS:000262386500004</t>
  </si>
  <si>
    <t>Fox, AJ; Cziferszky, A</t>
  </si>
  <si>
    <t>Fox, Adrian J.; Cziferszky, Andreas</t>
  </si>
  <si>
    <t>Unlocking the time capsule of historic aerial photography to measure changes in Antarctic Peninsula glaciers</t>
  </si>
  <si>
    <t>PHOTOGRAMMETRIC RECORD</t>
  </si>
  <si>
    <t>Antarctic Peninsula; block adjustment; calibration; digital elevation model; historic aerial photography; ice volume change</t>
  </si>
  <si>
    <t>MASS-BALANCE</t>
  </si>
  <si>
    <t>Recent studies have reported widespread retreat and acceleration of glaciers on the Antarctic Peninsula, attributed to regional warming. The loss of ice is a contributor to sea level rise, but its volume and impact on sea level is poorly known. There are few ground measurements of ice thickness change and existing satellite altimeters are ineffective over the mountainous terrain. An accurate assessment of changes in surface height, and hence ice volume, of glaciers on the Antarctic Peninsula over past decades is needed to aid better estimates of their past impact on sea level rise and predictions of their future contribution. There is an archive of over 30 000 aerial photographs going back to the 1940s for parts of the Antarctic Peninsula. Photogrammetry of time series of these historic photographs is now the only way to reconstruct changes in glacier surface height over the past 60 years. However, the historic aerial photographs are difficult to employ for detailed measurements owing to inadequate ground control, unfavourable sortie characteristics, incomplete calibration data and the unavoidable use of paper prints only. This paper describes a method of providing control for historic photos without fieldwork on the ground, by linking them to a newly acquired, highly accurate photogrammetric model adjusted through direct kinematic GPS positioning of the camera. It assesses the achievable accuracy through a worked example using a glacier on the Antarctic Peninsula with typical aerial photography at five dates from 1947 to 2005. Overall measurement accuracy of better than 2 m rmse in X, Y and Z was achieved for all the photography types, which is accurate enough to allow meaningful measurement of changes in ice thickness for the glacier over periods of the order of decades. The principal constraints are image quality of the historic photographs and the availability of paper prints only.</t>
  </si>
  <si>
    <t>[Fox, Adrian J.; Cziferszky, Andreas] British Antarctic Survey, Cambridge CB3 0ET, England</t>
  </si>
  <si>
    <t>Fox, AJ (corresponding author), British Antarctic Survey, Cambridge CB3 0ET, England.</t>
  </si>
  <si>
    <t>ajfo@bas.ac.uk; a.cziferszky@schubert-franzke.com</t>
  </si>
  <si>
    <t>Natural Environment Research Council [bas010020] Funding Source: researchfish; NERC [bas010020] Funding Source: UKRI</t>
  </si>
  <si>
    <t>0031-868X</t>
  </si>
  <si>
    <t>1477-9730</t>
  </si>
  <si>
    <t>PHOTOGRAMM REC</t>
  </si>
  <si>
    <t>Photogramm. Rec.</t>
  </si>
  <si>
    <t>10.1111/j.1477-9730.2008.00463.x</t>
  </si>
  <si>
    <t>Geography, Physical; Geosciences, Multidisciplinary; Remote Sensing; Imaging Science &amp; Photographic Technology</t>
  </si>
  <si>
    <t>Physical Geography; Geology; Remote Sensing; Imaging Science &amp; Photographic Technology</t>
  </si>
  <si>
    <t>280HL</t>
  </si>
  <si>
    <t>WOS:000254416500005</t>
  </si>
  <si>
    <t>Miller, J</t>
  </si>
  <si>
    <t>Miller, Johanna</t>
  </si>
  <si>
    <t>Antarctic radar survey reveals a subglacial volcanic eruption</t>
  </si>
  <si>
    <t>PHYSICS TODAY</t>
  </si>
  <si>
    <t>AMER INST PHYSICS</t>
  </si>
  <si>
    <t>MELVILLE</t>
  </si>
  <si>
    <t>CIRCULATION &amp; FULFILLMENT DIV, 2 HUNTINGTON QUADRANGLE, STE 1 N O 1, MELVILLE, NY 11747-4501 USA</t>
  </si>
  <si>
    <t>0031-9228</t>
  </si>
  <si>
    <t>PHYS TODAY</t>
  </si>
  <si>
    <t>Phys. Today</t>
  </si>
  <si>
    <t>271WT</t>
  </si>
  <si>
    <t>WOS:000253820100010</t>
  </si>
  <si>
    <t>Almandoz, GO; Ferreyra, GA; Schloss, IR; Dogliotti, AI; Rupolo, V; Paparazzo, FE; Esteves, JL; Ferrario, ME</t>
  </si>
  <si>
    <t>Almandoz, Gaston O.; Ferreyra, Gustavo A.; Schloss, Irene R.; Dogliotti, Anna I.; Rupolo, Volfango; Paparazzo, Flavio E.; Esteves, Jose L.; Ferrario, Martha E.</t>
  </si>
  <si>
    <t>Distribution and ecology of Pseudo-nitzschia species (Bacillariophyceae) in surface waters of the Weddell Sea (Antarctica)</t>
  </si>
  <si>
    <t>Antarctica; diatoms; phytoplankton distribution; Pseudo-nitzschia; Weddell Sea</t>
  </si>
  <si>
    <t>CANONICAL CORRESPONDENCE-ANALYSIS; DOMOIC ACID PRODUCTION; COMPLEX BACILLARIOPHYCEAE; SERIATA BACILLARIOPHYCEAE; PHYTOPLANKTON BIOMASS; AUSTRAL SUMMER; SCOTIA SEA; ICE-ZONE; DELICATISSIMA; ASSEMBLAGES</t>
  </si>
  <si>
    <t>The distribution of six Pseudo-nitzschia species and their relationship with environmental conditions were studied for the first time in a vast zone of the Weddell Sea (similar to 61-77 degrees S, Antarctica). Both qualitative and quantitative phytoplankton samples, collected during summer 2004, were examined using light and scanning electron microscopy. Phytoplankton abundance and composition showed great variability along our study area. Diatoms were the most conspicuous phytoplankton group in the northern area while small flagellates were generally dominant in the southern stations. The genus Pseudo-nitzschia was broadly distributed and significantly contributed to total diatom densities. A marked contrast in Pseudo-nitzschia species distribution was observed in three main zones divided by the Weddell Front (WF) and the Antarctic Slope Front (ASF). P. subcurvata and P. turgiduloides were the most abundant species in the neritic Weddell Sea zone, south of the ASF, mainly near the ice-edge in shallower waters and in conditions of long photoperiod. In contrast, P. prolongatoides and P. lineola dominated north of the ASF; the first was associated with deeper and nutrient-rich waters whereas the latter showed a weak relation with environmental variables examined. Finally, P. turgidula and P. heimii were mostly observed in the Weddell-Scotia Confluence Zone in the warmest and far from ice covered waters, north of the WF. A brief morphological Pseudo-nitzschia species description is given in the Appendix, including morphometrics and pictures.</t>
  </si>
  <si>
    <t>[Almandoz, Gaston O.; Ferrario, Martha E.] Natl Univ La Plata, Fac Ciencias Nat &amp; Museo, RA-1900 La Plata, Argentina; [Almandoz, Gaston O.; Schloss, Irene R.; Dogliotti, Anna I.; Ferrario, Martha E.] Consejo Nacl Invest Cient &amp; Tecn, Consejo Nacl Invest Cient &amp; Tecn, RA-1033 Buenos Aires, DF, Argentina; [Ferreyra, Gustavo A.; Schloss, Irene R.] Inst Antarctico Argentino, RA-1010 Ciudad De Beinos Aires, Argentina; [Dogliotti, Anna I.] Inst Astron &amp; Fis Espacio IAFE CONICET, RA-1428 Buenos Aires, DF, Argentina; [Rupolo, Volfango] ENEA, Climate &amp; Environm Dept, I-00123 Rome, Italy; [Paparazzo, Flavio E.; Esteves, Jose L.] CENPAT CONICET, RA-9120 Puerto Madryn, Argentina</t>
  </si>
  <si>
    <t>National University of La Plata; Museo La Plata; Consejo Nacional de Investigaciones Cientificas y Tecnicas (CONICET); Instituto de Astronomia y Fisica del Espacio (IAFE); Consejo Nacional de Investigaciones Cientificas y Tecnicas (CONICET); Italian National Agency New Technical Energy &amp; Sustainable Economics Development; Consejo Nacional de Investigaciones Cientificas y Tecnicas (CONICET); Centro Nacional Patagonico (CENPAT)</t>
  </si>
  <si>
    <t>Almandoz, GO (corresponding author), Natl Univ La Plata, Fac Ciencias Nat &amp; Museo, Paseo Bosque S-N, RA-1900 La Plata, Argentina.</t>
  </si>
  <si>
    <t>galmandoz@fcnym.unlp.edu.ar</t>
  </si>
  <si>
    <t>Schloss, Irene R./U-5411-2018</t>
  </si>
  <si>
    <t>Schloss, Irene R./0000-0002-5917-8925; Almandoz, Gaston O./0000-0001-7931-582X; Ferreyra, Gustavo Adolfo/0000-0003-1953-5067</t>
  </si>
  <si>
    <t>10.1007/s00300-007-0369-9</t>
  </si>
  <si>
    <t>258SJ</t>
  </si>
  <si>
    <t>WOS:000252889500004</t>
  </si>
  <si>
    <t>Pérez, AF; Morriconi, E; Boy, C; Calvo, J</t>
  </si>
  <si>
    <t>Perez, Analia F.; Morriconi, Elba; Boy, Claudia; Calvo, Jorge</t>
  </si>
  <si>
    <t>Seasonal changes in energy allocation to somatic and reproductive body components of the common cold temperature sea urchin Loxechinus albus in a Sub-Antarctic environment</t>
  </si>
  <si>
    <t>Sea urchins; energetics; calorimetry; Loxechinus albus; Beagle Channel</t>
  </si>
  <si>
    <t>VARIEGATUS LAMARCK ECHINODERMATA; BIOCHEMICAL-COMPOSITION; RESOURCE-ALLOCATION; STARVATION; SIZE; GUT; ASTEROIDS; ECHINOIDS; TISSUES; STORAGE</t>
  </si>
  <si>
    <t>Monthly variations in the somatic indexes and energetic content of organs were investigated in Loxechinus albus from the Beagle Channel. Samples were collected monthly from May 2004 to May 2005. Lantern and test indexes did not vary significantly. A major peak of gonad index (GI) was observed in winter (sexual maturation period), with a strong declination in November suggesting a spawning period in spring. In coincidence a shortening of feeding activities was expressed by the lower values of gut index (Gut I), suggesting that the gut is a storage organ. The values of gonad energetic content (GEC) and total gonad energetic content (TGEC) showed minimum values in winter (ripe stage) and the maximum in spring (spawned stage). The TGEC reached higher monthly average values (50-200 kJ) than total gut energetic content (TGuEC) (20-40 kJ). These differences indicate that the gonads constitute the most important store organs in L. albus. Moreover, organic stores are built up in the gonads after spawning, and then utilized during gamete production.</t>
  </si>
  <si>
    <t>[Perez, Analia F.; Morriconi, Elba; Boy, Claudia; Calvo, Jorge] Ctr Austral Invest Cient, CONICET, Consejo Nacl Invest Cient &amp; Tecn, RA-9410 Ushuaia, Tierra Fuego, Argentina</t>
  </si>
  <si>
    <t>Pérez, AF (corresponding author), Ctr Austral Invest Cient, CONICET, Consejo Nacl Invest Cient &amp; Tecn, Bernardo Houssay 200, RA-9410 Ushuaia, Tierra Fuego, Argentina.</t>
  </si>
  <si>
    <t>analiafperez@yahoo.com.ar</t>
  </si>
  <si>
    <t>10.1007/s00300-007-0370-3</t>
  </si>
  <si>
    <t>WOS:000252889500005</t>
  </si>
  <si>
    <t>Cantero, ALP</t>
  </si>
  <si>
    <t>Pena Cantero, Alvaro L.</t>
  </si>
  <si>
    <t>Benthic hydroids (Cnidaria: Hydrozoa) from the Spanish Antarctic expedition Bentart 95</t>
  </si>
  <si>
    <t>biodiversity; new record; autecology; biogeography</t>
  </si>
  <si>
    <t>OSWALDELLA STECHOW; R.V. POLARSTERN; RV POLARSTERN; SERTULARIIDAE; OCEAN; GENUS</t>
  </si>
  <si>
    <t>A total of 61 species of hydroids, belonging to 13 families and 23 genera, were found during the Spanish Antarctic expedition Bentart 95 with the RV Hesperides. Ten of the species were identified only to generic level. The dominance of the subclass Leptothecatae, with 57 species, was remarkable. The remaining four species belong to the subclass Anthoathecatae. By far the most diverse family was the Sertulariidae, with 25 species (41%), followed by Haleciidae with nine species (15%) and Kirchenpaueriidae with six (10%). The family Plumulariidae, represented by one species of Nemertesia, is recorded for the first time from Antarctic waters. Eudendrium scotti, Perarella clavata and Symplectoscyphus hero are each recorded for the second time. Symplectoscyphus with 11 species was the dominant genus. Almost 60% of the species diversity is concentrated in just a little more than the 20% of genera. Nearly 70% of the species are endemic to Antarctic waters and 90% of them are restricted to Antarctic or Antarctic/sub-Antarctic waters.</t>
  </si>
  <si>
    <t>Univ Valencia, Fdn Gen Univ Valencia, Inst Cavanilles Biodivers &amp; Biol Evolut, Valencia 46071, Spain</t>
  </si>
  <si>
    <t>University of Valencia</t>
  </si>
  <si>
    <t>Cantero, ALP (corresponding author), Univ Valencia, Fdn Gen Univ Valencia, Inst Cavanilles Biodivers &amp; Biol Evolut, Apdo Correos 22085, Valencia 46071, Spain.</t>
  </si>
  <si>
    <t>Alvaro.L.Pena@uv.es</t>
  </si>
  <si>
    <t>Cantero, Álvaro Luis Peña/F-7888-2016</t>
  </si>
  <si>
    <t>Pena Cantero, Alvaro/0000-0003-3056-6673</t>
  </si>
  <si>
    <t>10.1007/s00300-007-0371-2</t>
  </si>
  <si>
    <t>WOS:000252889500006</t>
  </si>
  <si>
    <t>Tatión, M; Sahade, R; Mercuri, G; Fuentes, VL; Antacli, JC; Stellfeldt, A; Esnal, GB</t>
  </si>
  <si>
    <t>Tatian, Marcos; Sahade, Ricardo; Mercuri, Guillermo; Fuentes, Veronica L.; Antacli, Julieta C.; Stellfeldt, Alexia; Esnal, Graciela B.</t>
  </si>
  <si>
    <t>Feeding ecology of benthic filter-feeders at Potter Cove, an Antarctic coastal ecosystem</t>
  </si>
  <si>
    <t>Antarctica; filter-feeder; assimilation; coupling; particle flux; Cnemidocarpa verrucosa; Laternula elliptica; Pyura setosa</t>
  </si>
  <si>
    <t>ASCIDIAN CNEMIDOCARPA-VERRUCOSA; KING-GEORGE-ISLAND; TERRA-NOVA BAY; ABSORPTION EFFICIENCY; FOOD AVAILABILITY; SUSPENSION; FILTRATION; BIODEPOSITION; QUANTITY; DETRITUS</t>
  </si>
  <si>
    <t>A rich benthic filter-feeding community is present at Potter Cove, South Shetland, in spite of some usually unfavorable conditions affecting their feeding ecology, such as low phytoplankton production in summer and high sedimentation rates. However, organic material that could fuel the benthic system, such as macroalgal fragments, was detected in the water-bottom interface year-round. Mean assimilation efficiency of several sizes of macroalgal particles under different inorganic particulate percentages varied between 26-51% in a clam, and 26-72% in two ascidian species. Estimated particle flux (feces) produced by ascidians varied according to species and abundance. The C:N ratio of feces was relatively high. Plasticity and profit from the available food sources contribute to the success of the filter-feeding community in Potter Cove.</t>
  </si>
  <si>
    <t>[Tatian, Marcos; Sahade, Ricardo; Antacli, Julieta C.; Stellfeldt, Alexia] Univ Nacl Cordoba, Fac Ciencias Exactas Fis &amp; Nat, RA-5000 Cordoba, Argentina; [Tatian, Marcos; Sahade, Ricardo; Fuentes, Veronica L.; Esnal, Graciela B.] Consejo Nacl Invest Cient &amp; Tecn, RA-1033 Buenos Aires, DF, Argentina; [Mercuri, Guillermo] IAA, RA-1010 Buenos Aires, DF, Argentina; [Fuentes, Veronica L.] Alfred Wegener Inst, Bremerhaven, Germany; [Esnal, Graciela B.] Univ Buenos Aires, Fac Ciencias Exactas &amp; Nat, Dept Biodivers &amp; Biol Expt, RA-1428 Buenos Aires, DF, Argentina</t>
  </si>
  <si>
    <t>National University of Cordoba; Consejo Nacional de Investigaciones Cientificas y Tecnicas (CONICET); Helmholtz Association; Alfred Wegener Institute, Helmholtz Centre for Polar &amp; Marine Research; University of Buenos Aires</t>
  </si>
  <si>
    <t>Tatión, M (corresponding author), Univ Nacl Cordoba, Fac Ciencias Exactas Fis &amp; Nat, Av Velez Sarsfield 299, RA-5000 Cordoba, Argentina.</t>
  </si>
  <si>
    <t>mtatian@com.uncor.edu</t>
  </si>
  <si>
    <t>Fuentes, Verónica L/K-7589-2014; stellfeldt, Alexia/AAD-6310-2020</t>
  </si>
  <si>
    <t>Fuentes, Verónica L/0000-0002-6380-0174; Tatian, Marcos/0000-0002-9092-9184; /0000-0001-6417-8834; Sahade, Ricardo/0000-0001-5650-8135</t>
  </si>
  <si>
    <t>10.1007/s00300-007-0379-7</t>
  </si>
  <si>
    <t>WOS:000252889500012</t>
  </si>
  <si>
    <t>Kidawa, A; Stepanowska, K; Markowska, M; Rakusa-Suszczewski, S</t>
  </si>
  <si>
    <t>Kidawa, Anna; Stepanowska, Katarzyna; Markowska, Marta; Rakusa-Suszczewski, Stanisiaw</t>
  </si>
  <si>
    <t>Fish blood as a chemical signal for Antarctic marine invertebrates</t>
  </si>
  <si>
    <t>STAR ODONTASTER-VALIDUS; HERMIT-CRABS; AMINO-ACIDS; BEHAVIORAL-RESPONSES; BUCCINUM-UNDATUM; PREDATION RISK; WATER; CHEMORECEPTION; FOOD; CONSPECIFICS</t>
  </si>
  <si>
    <t>Chemical cues released from dead or injured organisms constitute important signals informing nearby animals about a feeding possibility. The ability to detect the signal, evaluate its meaning and locate its source can help organisms to exploit food resources efficiently, which is especially important to animals living in environments with limited food supply. Experiments were carried out to study the behavioral responses of several Antarctic benthic invertebrates to fish (Notothenia corriceps) blood. Necrophagous species such as sea stars Odontaster validus and Lysasterias sp., amphipod Waldeckia obesa and nemertean Parborlasia corrugatus responded to fish blood with changes in their behavior. The behavior common to all these species was locomotion directed towards the stimulus source. Behavioral components consistent with food consumption were observed in O. validus and P. corrugatus. The reaction of herbivorous limpets Nacella concinna to fish blood depended on the animal size. Large (&gt; 10 mm) limpets showed no behavioral response, whereas small ones (&lt; 10 mm) reacted to the stimulus by moving a short distance away. These results indicate that blood released from the tissues of injured or dead animals may be an important chemical signal for organisms belonging to different taxa.</t>
  </si>
  <si>
    <t>[Kidawa, Anna; Markowska, Marta; Rakusa-Suszczewski, Stanisiaw] Polish Acad Sci, Dept Anaterct Biol, PL-02141 Warsaw, Poland; [Stepanowska, Katarzyna] Univ Agr Szczecin, Fac Food Sci &amp; Fisheries, Dept Biol Marine Resources, PL-71550 Szczecin, Poland</t>
  </si>
  <si>
    <t>Polish Academy of Sciences; West Pomeranian University of Technology</t>
  </si>
  <si>
    <t>Kidawa, A (corresponding author), Polish Acad Sci, Dept Anaterct Biol, Ul Ustrzycka 10-12, PL-02141 Warsaw, Poland.</t>
  </si>
  <si>
    <t>anna_kidawa@wp.pl</t>
  </si>
  <si>
    <t>Stepanowska, Katarzyna Ewa/AAI-4470-2021; Stepanowska, Katarzyna/G-4666-2016</t>
  </si>
  <si>
    <t>Stepanowska, Katarzyna Ewa/0000-0003-2359-4844; Potocka, Marta/0000-0003-0505-6436</t>
  </si>
  <si>
    <t>10.1007/s00300-007-0383-y</t>
  </si>
  <si>
    <t>WOS:000252889500013</t>
  </si>
  <si>
    <t>Honjo, S; Manganini, SJ; Krishfield, RA; Francois, R</t>
  </si>
  <si>
    <t>Honjo, Susumu; Manganini, Steven J.; Krishfield, Richard A.; Francois, Roger</t>
  </si>
  <si>
    <t>Particulate organic carbon fluxes to the ocean interior and factors controlling the biological pump: A synthesis of global sediment trap programs since 1983</t>
  </si>
  <si>
    <t>biological pump; POC; global particle fluxes; vertical transport; remineralization; mesopelagic CO2 sink</t>
  </si>
  <si>
    <t>BIOGENIC PARTICLE FLUXES; NET COMMUNITY PRODUCTION; SALP FECAL PELLETS; DEEP-WATER SITE; MARINE SNOW; NORTH-ATLANTIC; ARABIAN SEA; INTERANNUAL VARIABILITY; SOUTHERN-OCEAN; TEMPORAL VARIABILITY</t>
  </si>
  <si>
    <t>Particulate organic carbon (POC) is vertically transported to the oceanic interior by aggregates and their ballasts, mainly CaCO3 and biogenic opal, with a smaller role for lithogenic aerosols through the mesopelagic zone. Diel migrating zooplankton communities effect vertical transport and remineralization of POC in the upper layers of the ocean. Below 1.5 km, the presence of zooplankton is reduced and thus the aggregates travel mainly by gravitational transport. We normalized the fluxes of POC, CaCO3, and biogenic opal from data published on samples collected at 134 globally distributed, bottom-tethered, time-series sediment trap (TS-trap) stations to annual mole fluxes at the mesopelagic/bathypelagic boundary (m/b) at 2 km and defined them as Fm/bCorg, Fm/bCinorg, and Fm/bSibio.Using this global data set, we investigated (1) the geographic contrasts of POC export at m/b and (2) the supply rate of Sigma CO2 to the world mesopelagic water column. Fm/bCorg varies from 25 (Pacific Warm Pool) to 605 (divergent Arabian Sea) mmolC m(-2) yr(-1); Fm/bCinorg varies from 8 (high latitude Polar Oceans) or 15 (Pacific Warm Pool) to 459 (divergent Arabian Sea) mmolC m(-2) yr(-1); and Fm/bSibio, the most spatially/temporally variable flux, ranges from 6 (North Atlantic Drift) to 1118 (Pacific Subarctic Gyre) mmolSi m(-2) yr(-1). The oceanic region exhibiting the highest POC flux over a significantly large region is the area of the North Pacific Boreal Gyres where the average Fm/bCorg = 213, Fm/bCinorg = 126, and F-m/b Si-bio = 578 mmol m(-2) yr(-1). Fm/bCorg and Fm/bCinorg are particularly high in large upwelling margins, including the divergent Arabian Sea and off Cape Verde. One of the data sets showing the lowest flux over a significant region/basin is F-m/b C-org = 39, Fm/bCinorg = 69, and Fm/bSibio = 22 mmol m(-2) yr(-1) in the North Pacific subtropical/tropical gyres; Pan-Atlantic average fluxes are similar except Fm/bSibio fluxes are even lower. Where C-org/C-inorg and Si-bio/C-inorg are &lt;1 defines the Carbonate Ocean, and where these ratios are &gt;= 1 defines the Silica Ocean. The Carbonate Ocean occupies about 80% of the present world pelagic ocean between the two major oceanographic fronts, the North Pacific Polar Front and the Antarctic Polar Front, and the Silica Ocean is found on the polar sides of these fronts. The total global annual fluxes of F-mb/C-org, Fm/bCinorg, and Fm/bSibio at m/b calculated by parameterizations of the export flux data from 134 stations are surprisingly similar; 36.2, 33.8, and 34.6 teramol yr(-1) (120, 112, and 114 mmol m(-2) yr(-1)), respectively, resulting in a near uniform binary ratio between the above three elements of about one. The global ternary % ratios estimated from 152 TS-trap samples of the three elements are 35:32:33. From our global Fm/bCorg and a published model estimate of the global export production, we estimate the regeneration rate Of CO2 through the mesopelagic zone by the bioloical pump is 441 teramolC yr(-1) Based on our global Fm/bCinorg and recently estimated global primary production of PIC, 36-86 teramolC yr(-1) of PIC is assumed to be dissolved within the upper 2 km of the water column. (c) 2008 Elsevier Ltd. All rights reserved.</t>
  </si>
  <si>
    <t>[Honjo, Susumu; Manganini, Steven J.; Krishfield, Richard A.] Woods Hole Oceanog Inst, Woods Hole, MA 02543 USA; [Francois, Roger] Univ British Columbia, Dept Earth &amp; Ocean Sci, Vancouver, BC V5Z 1M9, Canada</t>
  </si>
  <si>
    <t>Woods Hole Oceanographic Institution; University of British Columbia</t>
  </si>
  <si>
    <t>Honjo, S (corresponding author), Woods Hole Oceanog Inst, Woods Hole, MA 02543 USA.</t>
  </si>
  <si>
    <t>shonjo@whoi.edu</t>
  </si>
  <si>
    <t>10.1016/j.pocean.2007.11.003</t>
  </si>
  <si>
    <t>297ML</t>
  </si>
  <si>
    <t>WOS:000255620700001</t>
  </si>
  <si>
    <t>Fernandez, PM</t>
  </si>
  <si>
    <t>Fernandez, Pablo Marcelo</t>
  </si>
  <si>
    <t>Taphonomy and zooarchaeology in the Neotropics: A view from northwestern Patagonian forest and steppe</t>
  </si>
  <si>
    <t>QUATERNARY INTERNATIONAL</t>
  </si>
  <si>
    <t>STRUCTURAL DENSITY; SKELETAL ELEMENTS; BONES; VARIABILITY; REMAINS; HADZA</t>
  </si>
  <si>
    <t>Modes of faunal exploitation in NW Chubut Province (Patagonia, Argentina) during the last 3500 calibrated years BP are discussed, based on taphonomic and zooarchaeological analyses. Bone assemblages were recovered from archaeological sites of the Sub-Antarctic forests and the extra-Andean Patagonian steppe, where huemul (Hippocamelus bisulcus) and guanaco (Lama guanicoe) were, respectively, the main staple. In the steppe, lesser rhea (Pterocnemia pennata), a medium-sized flightless bird, also was integrated into the hunter-gatherer diet. Rodents, carnivores, flying birds, and fishes also were recovered. Different processes and agents were involved in the accumulation of small vertebrates bone assemblages (e.g. birds of prey, foxes, and small carnivores). In the steppe, only two taxa of small vertebrates-birds and mountain viscacha (Lagidium viscacia)-can be related with human subsistence activities. These two taxa and all large vertebrates reveal fat-oriented carcass processing. Guanaco bone assemblages associated both with ceramic and non-ceramic technologies do not show changes in carcass processing. Moreover, the similarities in bone grease exploitation suggest boiling prior to the appearance of pottery. (c) 2007 Elsevier Ltd and INQUA. All rights reserved.</t>
  </si>
  <si>
    <t>ONICET INAPL UBA, Buenos Aires, DF, Argentina</t>
  </si>
  <si>
    <t>Fernandez, PM (corresponding author), ONICET INAPL UBA, 3 Febrero 1370,C1426BJN, Buenos Aires, DF, Argentina.</t>
  </si>
  <si>
    <t>pfernand@mail.retina.ar</t>
  </si>
  <si>
    <t>Fernandez, Pablo Marcelo/I-2734-2019</t>
  </si>
  <si>
    <t>Fernandez, Pablo Marcelo/0000-0002-3874-6305</t>
  </si>
  <si>
    <t>1040-6182</t>
  </si>
  <si>
    <t>1873-4553</t>
  </si>
  <si>
    <t>QUATERN INT</t>
  </si>
  <si>
    <t>Quat. Int.</t>
  </si>
  <si>
    <t>10.1016/j.quaint.2007.08.012</t>
  </si>
  <si>
    <t>304OL</t>
  </si>
  <si>
    <t>WOS:000256118700008</t>
  </si>
  <si>
    <t>Hillenbrand, CD; Moreton, SG; Caburlotto, A; Pudsey, CJ; Lucchi, RG; Smellie, JL; Benetti, S; Grobe, H; Hunt, JB; Larter, RD</t>
  </si>
  <si>
    <t>Hillenbrand, C. -D.; Moreton, S. G.; Caburlotto, A.; Pudsey, C. J.; Lucchi, R. G.; Smellie, J. L.; Benetti, S.; Grobe, H.; Hunt, J. B.; Larter, R. D.</t>
  </si>
  <si>
    <t>Volcanic time-markers for Marine Isotopic Stages 6 and 5 in Southern Ocean sediments and Antarctic ice cores: implications for tephra correlations between palaeoclimatic records</t>
  </si>
  <si>
    <t>DEEP-SEA SEDIMENTS; CONTINENTAL RISE; WEST ANTARCTICA; DOME FUJI; LAYERS; PACIFIC; PENINSULA; ASH; IDENTIFICATION; MARGIN</t>
  </si>
  <si>
    <t>Three megascopic and disseminated tephra layers (which we refer to as layers A, B, and C) occur in late Quaternary glaciomarine sediments deposited on the West Antarctic continental margin. The stratigraphical positions of the distal tephra layers in 28 of the 32 studied sediment cores suggest their deposition during latest Marine Isotopic Stage (MIS) 6 and MIS 5. One prominent tephra layer (layer B), which was deposited subsequent to the penultimate deglaciation (Termination II), is present in almost all of the cores. Geochemical analyses carried out on the glass shards of the layers reveal a uniform trachytic composition and indicate Marie Byrd Land (MBL), West Antarctica, as the common volcanic source. The geochemical composition of the marine tephra is compared to that of ash layers of similar age described from Mount Moulton and Mount Takahe in MBL and from ice cores drilled at Dome Fuji, Vostok and EPICA Dome C in East Antarctica. The three tephra layers in the marine sediments are chemically indistinguishable. Also five englacial ash layers from Mt. Moulton, which originated from highly explosive Plinian eruptions of the Mt. Berlin volcano in MBL between 142 and 92 ka ago, are chemically very similar, as are two tephra layers erupted from Mt. Takahe at ca 102 ka and ca 93 ka. Statistical analysis of the chemical composition of the glass shards indicates that the youngest tephra (layer A) in the marine cores matches the ash layer that erupted from Mt. Berlin at 92 ka, which was previously correlated with tephra layers in the EPICA Dome C and the Dome Fuji ice cores. A tephra erupted from Mt. Berlin at 136 ka seems to correspond to a tephra layer deposited at 1733 m in the EPICA Dome C ice core. Additionally, the oldest tephra (layer C) in the marine sediments resembles an ash layer deposited at Vostok around 142 ka, but statistical evidence for the validity of this correlation is inconclusive. Although our results underscore the potential of tephrostratigraphy for correlating terrestrial and marine palaeoclimate archives, our study also reveals limitations of this technique, which may result in the miscorrelation of tephra. Such pitfalls comprise failure to recognise the occurrence of various tephra layers in marine sediment cores, 'swamping' of records with chemically indistinguishable tephra from a single volcanic source, and exclusive use of 'geochemical fingerprinting' for correlating ash layers. (C) 2007 Elsevier Ltd. All rights reserved.</t>
  </si>
  <si>
    <t>[Hillenbrand, C. -D.; Moreton, S. G.; Pudsey, C. J.; Smellie, J. L.; Benetti, S.; Larter, R. D.] British Antarctic Survey, Cambridge CB3 0ET, England; [Caburlotto, A.; Lucchi, R. G.] OGS, I-34010 Sgonico, Italy; [Grobe, H.] Alfred Wegener Inst Polar &amp; Marine Res, D-27515 Bremerhaven, Germany; [Hunt, J. B.] Univ Gloucestershire, Ctr Environm Change &amp; Quaternary Res, Dept Nat &amp; Social Sci, Cheltenham GL50 4AZ, Glos, England</t>
  </si>
  <si>
    <t>UK Research &amp; Innovation (UKRI); Natural Environment Research Council (NERC); NERC British Antarctic Survey; Istituto Nazionale di Oceanografia e di Geofisica Sperimentale; Helmholtz Association; Alfred Wegener Institute, Helmholtz Centre for Polar &amp; Marine Research; University of Gloucestershire</t>
  </si>
  <si>
    <t>Hillenbrand, CD (corresponding author), British Antarctic Survey, High Cross,Madingley Rd, Cambridge CB3 0ET, England.</t>
  </si>
  <si>
    <t>hilc@bas.ac.uk</t>
  </si>
  <si>
    <t>Moreton, Steven G/C-2373-2009</t>
  </si>
  <si>
    <t>Moreton, Steven G/0000-0002-8030-2433; Benetti, Sara/0000-0001-6286-9842; Grobe, Hannes/0000-0002-4133-2218; caburlotto, andrea/0000-0001-7259-6884; Lucchi, Renata Giulia/0000-0001-5111-6968; Larter, Robert/0000-0002-8414-7389</t>
  </si>
  <si>
    <t>Natural Environment Research Council [NER/G/S/2002/00009, bas010018] Funding Source: researchfish; NERC [bas010018] Funding Source: UKRI</t>
  </si>
  <si>
    <t>10.1016/j.quascirev.2007.11.009</t>
  </si>
  <si>
    <t>293RH</t>
  </si>
  <si>
    <t>WOS:000255351900007</t>
  </si>
  <si>
    <t>Vandergoes, MJ; Dieffenbacher-Krall, AC; Newnham, RM; Denton, GH; Blaauw, M</t>
  </si>
  <si>
    <t>Vandergoes, Marcus J.; Dieffenbacher-Krall, Ann C.; Newnham, Rewi M.; Denton, George H.; Blaauw, Maarten</t>
  </si>
  <si>
    <t>Cooling and changing seasonality in the Southern Alps, New Zealand during the Antarctic Cold Reversal</t>
  </si>
  <si>
    <t>GLACIAL CLIMATE REVERSAL; YOUNGER DRYAS; POLLEN MORPHOLOGY; ATMOSPHERIC CIRCULATION; HOLOCENE VEGETATION; AIR TEMPERATURES; NORTH-ATLANTIC; HEMISPHERE; ISLAND; CHIRONOMIDAE</t>
  </si>
  <si>
    <t>A comprehensively C-14 AMS dated pollen and chironomid record from Boundary Stream Tarn provides the first chironomid-derived temperature reconstruction to quantify temperature change during Lateglacial times (17,500-10,000 cal yr BP) in the Southern Alps, New Zealand. The records indicate a ca 1000-year disruption to the Lateglacial warming trend and an overall cooling consistent with the Antarctic Cold Reversal (ACR). The main interval of chironomid-inferred summer temperature depression (similar to 2-3 degrees C) lasted about 700 years during the ACR. Following this cooling event, both proxies indicate a warming step to temperatures slightly cooler than present during the Younger Dryas chronozone (12,900-11,500 cal yr BP). These results highlight a direct linkage between Antarctica and mid-latitude terrestrial climate systems and the largely asynchronous nature of the interhemispheric climate system during the last glacial transition. The greater magnitude of temperature changes shown by the chironomid record is attributed to the response of the proxies to differences in seasonal climate with chironomids reflecting summer temperature and vegetation more strongly controlled by duration of winter or by minimum temperatures. These differences imply stronger seasonality at times during the Lateglacial, which may explain some of the variability between other paleoclimate records from New Zealand and have wider implications for understanding differences between proxy records for abrupt climate change. (C) 2007 Elsevier Ltd. All rights reserved.</t>
  </si>
  <si>
    <t>[Vandergoes, Marcus J.] GNS Sci, Lower Hutt, New Zealand; [Vandergoes, Marcus J.; Dieffenbacher-Krall, Ann C.; Denton, George H.] Univ Maine, Climate Change Inst, Orono, ME 04469 USA; [Newnham, Rewi M.] Univ Plymouth, Sch Geog, Plymouth PL4 8AA, Devon, England; [Denton, George H.] Univ Maine, Dept Earth Sci, Orono, ME 04469 USA; [Blaauw, Maarten] Uppsala Univ, Dept Earth Sci, SE-75236 Uppsala, Sweden</t>
  </si>
  <si>
    <t>GNS Science - New Zealand; University of Maine System; University of Maine Orono; University of Plymouth; University of Maine System; University of Maine Orono; Uppsala University</t>
  </si>
  <si>
    <t>Vandergoes, MJ (corresponding author), GNS Sci, 1 Fairway Dr,POB 30368, Lower Hutt, New Zealand.</t>
  </si>
  <si>
    <t>vandergoes@maine.edu</t>
  </si>
  <si>
    <t>Blaauw, Maarten/E-4539-2011; Newnham, Rewi M/F-1111-2011</t>
  </si>
  <si>
    <t>Blaauw, Maarten/0000-0002-5680-1515;</t>
  </si>
  <si>
    <t>10.1016/j.quascirev.2007.11.015</t>
  </si>
  <si>
    <t>WOS:000255351900012</t>
  </si>
  <si>
    <t>Curzio, P; Folco, L; Laurenzi, MA; Mellini, M; Zeoli, A</t>
  </si>
  <si>
    <t>Curzio, Pietro; Folco, Luigi; Laurenzi, Marinella Ada; Mellini, Marcello; Zeoli, Antonio</t>
  </si>
  <si>
    <t>A tephra chronostratigraphic framework for the Frontier Mountain blue-ice field (northern Victoria Land, Antarctica)</t>
  </si>
  <si>
    <t>MARIE BYRD LAND; VOLCANIC ACTIVITY; EAST ANTARCTICA; LAYERS; DOME; RECORD; CORE; METEORITES; ASH; AGE</t>
  </si>
  <si>
    <t>Englacial tephra provide chronostratigraphic markers in the Antarctic ice sheets. Structural, mineralogical, geochemical and geochronological data on selected samples allowed the reconstruction of a chronostratigraphic framework for the Frontier Mountain blue-ice field-an important meteorite trap on the southeastern flank of Talos Dome in northern Victoria Land. The stratigraphic thickness of the blue-ice succession is similar to 1150 in. The 40Ar-39Ar age of one layer close to the stratigraphic bottom of the ice succession is 100 +/- 5 ka and constrains the maximum age of the bulk of Frontier Mountain blue ice. The 49 +/- 11 ka age of a second layer at a depth of similar to 950 m in the stratigraphic succession indicates that &gt; 90% of the ice is younger than this value. These ages agree well with the terrestrial ages of meteorites found on the blue ice (up to 140 +/- 30ka), suggesting a mechanism of exhumation of meteorites by ablation after englacial transport. Particle size (up to several tens of microns) and the alkaline compositional character of 22 layers allow correlation with source volcanoes within the Cenozoic magmatism associated with the West Antarctic Rift System. The proximal Mount Melbourne, Mount Rittman and The Pleiades (within a radius of similar to 250 km) are the best candidate source volcanoes. The reconstructed chronostratigraphic framework thus lays the foundations for a detailed investigation of similar to 100ka of explosive volcanism in northern Victoria Land. Furthermore, in light of the ongoing ice core drilling project at Tales Dome, the Frontier Mountain ice succession may become important for establishing regional correlations, for sampling and dating key tephra layers, and for selecting ice successions for high-resolution studies of past atmospheric chemistry and fallout. (C) 2007 Elsevier Ltd. All rights reserved.</t>
  </si>
  <si>
    <t>[Curzio, Pietro; Folco, Luigi; Zeoli, Antonio] Univ Siena, Museo Nazl Antartide, I-53100 Siena, Italy; [Laurenzi, Marinella Ada] CNR, Ist Geosci Georisorse, I-56124 Pisa, Italy; [Mellini, Marcello] Univ Siena, Dipartimento Sci Terra, I-53100 Siena, Italy</t>
  </si>
  <si>
    <t>University of Siena; Consiglio Nazionale delle Ricerche (CNR); Istituto di Geoscienze e Georisorse (IGG-CNR); University of Siena</t>
  </si>
  <si>
    <t>Folco, L (corresponding author), Univ Siena, Museo Nazl Antartide, Via Laterina 8, I-53100 Siena, Italy.</t>
  </si>
  <si>
    <t>LAURENZI, MARINELLAADA/0000-0003-1426-9476; Folco, Luigi/0000-0002-7276-3483</t>
  </si>
  <si>
    <t>10.1016/j.quascirev.2007.11.017</t>
  </si>
  <si>
    <t>WOS:000255351900013</t>
  </si>
  <si>
    <t>Souto, LRA; Maia-Nogueira, R; Bressan, DC</t>
  </si>
  <si>
    <t>Alardo Souto, Luciano R.; Maia-Nogueira, Rodrigo; Bressan, Daniel C.</t>
  </si>
  <si>
    <t>First record of the Pacific short-tailed Shearwater Puffinus tenuirostris (Temminck, 1835) for the Atlantic Ocean</t>
  </si>
  <si>
    <t>Portuguese</t>
  </si>
  <si>
    <t>Atlantic Ocean; Puffinus tenuirostris; Bahia; Brasil</t>
  </si>
  <si>
    <t>First record of the Pacific short-tailed Shearwater Puffinus tenuirostris (Temminck, 1835) for the Atlantic Ocean. Puffinus tenuirostris nests on islands in the south and southeast of Australia, having an exclusive circum-pacific distribution that extends from the south to the north Pacific. It is a trans-equatorial migrant, which goes north after the breeding season, reaching the margins of the pack ice, only returning at the end of the northern summer. On May 28, 2005, a petrel was found at Stella Maris beach, Salvador city, Bahia (12 degrees 55'S, 38 degrees 31'W). Based on morphometrics and plumage this bird it was identified as P. tenuirostris. This is the first documented record of the species for the Atlantic Ocean. The presence of the species off the California coast is rare event, and there have been no records on the coast of Americas south of this region, so it is unlikely that the specimen reached the Atlantic via the Isthmus of Panama. It is suggested, however, that the bird collected arrived from the east following the dominant winds around the south pole, when after reaching the Antarctic waters, it continued northward reaching the Atlantic. Those findings stress the need to increase the number of studies on oceanic birds stranded on the beaches of the Brazilian coast to obtain better information on movements of pelagic birds in the South Atlantic.</t>
  </si>
  <si>
    <t>[Alardo Souto, Luciano R.] IMA, BR-41741080 Salvador, BA, Brazil; [Alardo Souto, Luciano R.; Maia-Nogueira, Rodrigo; Bressan, Daniel C.] Univ Catolica Salvador, BR-41741080 Salvador, BA, Brazil; [Maia-Nogueira, Rodrigo] Biota Aquat, BR-40150120 Salvador, BA, Brazil</t>
  </si>
  <si>
    <t>Universidade Catolica de Salvador</t>
  </si>
  <si>
    <t>Souto, LRA (corresponding author), IMA, Av Pinto Aguiar,Rua Radioamadores 73, BR-41741080 Salvador, BA, Brazil.</t>
  </si>
  <si>
    <t>lucianoalardo@yahoo.com.br</t>
  </si>
  <si>
    <t>V23PW</t>
  </si>
  <si>
    <t>WOS:000208355700013</t>
  </si>
  <si>
    <t>Mao, L; Andreoli, A; Comiti, F; Lenzi, MA</t>
  </si>
  <si>
    <t>Mao, L.; Andreoli, A.; Comiti, F.; Lenzi, M. A.</t>
  </si>
  <si>
    <t>Geomorphic effects of large wood jams on a sub-antarctic mountain stream</t>
  </si>
  <si>
    <t>RIVER RESEARCH AND APPLICATIONS</t>
  </si>
  <si>
    <t>large wood; valley jams; log steps; Nothofagus forests; channel morphology; pools; sediment retention</t>
  </si>
  <si>
    <t>TIERRA-DEL-FUEGO; STEP-POOL STREAMS; CASTOR-CANADENSIS POPULATION; FLOW RESISTANCE; CHANNEL MORPHOLOGY; NEW-ZEALAND; DEBRIS ACCUMULATIONS; HEADWATER STREAMS; FLUVIAL PROCESSES; REACH MORPHOLOGY</t>
  </si>
  <si>
    <t>Dead wood pieces, especially when organized in jams, play an important geomorphic role in streams because of the effects on flow hydraulics, pool formation and sediments storage. The increase in stream morphological diversity and complexity also exerts an important ecological role. This work reports on geomorphic role of large wood (LW) pieces and jams in a third-order mountain stream located in the Southern Tierra del Fuego (Argentina), and draining an old-growth Nothofagus-forested basin not influenced by the beavers damming activity. Even if the in-stream number of wood pieces (length &gt; 1 m; diameter &gt; 0.1 in) is comparable to that observed in other climatic areas, the slow growth of the Nothofagus forest causes a lower wood abundance in terms of volumetric load. Because of the relatively small dimensions of the surveyed LW pieces, almost 70% of them demonstrated to have been fluvial transported and also the wood jams reflect the apparent dynamic nature of wood in the channel. Woodjams exert a significant influence on the channel morphology, representing almost half of the drop caused by steps and being responsible for the creation of 30% of the pools. LW-forced pool volume is strongly and positively correlated to the height of the LW jam. The geomorphic influence of LW jams is also exerted by a considerable sediment storing capacity. Copyright (c) 2008 John Wiley &amp; Sons, Ltd.</t>
  </si>
  <si>
    <t>[Mao, L.; Andreoli, A.; Comiti, F.; Lenzi, M. A.] Univ Padua, Dept Land &amp; Agroforest Environm, I-35020 Legnaro, Italy</t>
  </si>
  <si>
    <t>University of Padua</t>
  </si>
  <si>
    <t>Mao, L (corresponding author), Univ Padua, Dept Land &amp; Agroforest Environm, Viale Univ 16, I-35020 Legnaro, Italy.</t>
  </si>
  <si>
    <t>luca.mao@unipd.it</t>
  </si>
  <si>
    <t>Mao, Luca/C-6866-2012; Andreoli, Andrea/G-3872-2013</t>
  </si>
  <si>
    <t>Mao, Luca/0000-0001-8619-5221; Andreoli, Andrea/0000-0001-8419-8648; COMITI, Francesco/0000-0001-9840-0165</t>
  </si>
  <si>
    <t>1535-1459</t>
  </si>
  <si>
    <t>RIVER RES APPL</t>
  </si>
  <si>
    <t>River Res. Appl.</t>
  </si>
  <si>
    <t>10.1002/rra.1062</t>
  </si>
  <si>
    <t>Environmental Sciences; Water Resources</t>
  </si>
  <si>
    <t>Environmental Sciences &amp; Ecology; Water Resources</t>
  </si>
  <si>
    <t>292YW</t>
  </si>
  <si>
    <t>WOS:000255303000002</t>
  </si>
  <si>
    <t>Laskowski, Z; Zdzitowiecki, K</t>
  </si>
  <si>
    <t>Laskowski, Zdzislaw; Zdzitowiecki, Krzysztof</t>
  </si>
  <si>
    <t>New morphological data on the acanthocephalan Hypoechinorhynchus magellanicus Szidat, 1950 (Palaeacanthocephala: Arhythmacanthidae)</t>
  </si>
  <si>
    <t>SYSTEMATIC PARASITOLOGY</t>
  </si>
  <si>
    <t>Hypoechinorhynchus magellanicus Szidat, 1950 (Acanthocephala: Arhythmacanthidae) is redescribed based on specimens collected from a sub-Antarctic notothenioid fish, Champsocephalus esox (Gunter). The host was caught in the Beagle Channel (Magellanic sub-region). H. magellanicus has a trunk with an antero-dorsal curvature, a spherical proboscis, spines on the anterior region of the trunk, narrow lemnisci which are considerably longer than the proboscis receptacle, six cement glands and a single vaginal sphincter. The proboscis is armed with 40 hooks, including 15 large hooks with roots and 25 rootless basal spines. The large hooks are arranged in 10 alternate rows of one and two hooks. Each single large hook is followed by two spines, and pairs of large hooks are followed by single spines. Ten single spines are also present at the base of the proboscis between the rows. The eggs have polar prolongations of the middle envelope.</t>
  </si>
  <si>
    <t>[Laskowski, Zdzislaw; Zdzitowiecki, Krzysztof] Polish Acad Sci, W Stefanski Inst Parasitol, PL-00818 Warsaw, Poland; [Laskowski, Zdzislaw; Zdzitowiecki, Krzysztof] Polish Acad Sci, Dept Antarctic Biol, PL-02141 Warsaw, Poland</t>
  </si>
  <si>
    <t>Polish Academy of Sciences; Polish Academy of Sciences</t>
  </si>
  <si>
    <t>Laskowski, Z (corresponding author), Polish Acad Sci, W Stefanski Inst Parasitol, Ul Twarda 51-55, PL-00818 Warsaw, Poland.</t>
  </si>
  <si>
    <t>laskowz@twarda.pan.pl</t>
  </si>
  <si>
    <t>Laskowski, Zdzislaw/V-5682-2018</t>
  </si>
  <si>
    <t>Laskowski, Zdzislaw/0000-0001-8542-6307</t>
  </si>
  <si>
    <t>0165-5752</t>
  </si>
  <si>
    <t>SYST PARASITOL</t>
  </si>
  <si>
    <t>Syst. Parasitol.</t>
  </si>
  <si>
    <t>10.1007/s11230-007-9114-6</t>
  </si>
  <si>
    <t>Parasitology</t>
  </si>
  <si>
    <t>253UE</t>
  </si>
  <si>
    <t>WOS:000252542300002</t>
  </si>
  <si>
    <t>Lewis, K; Epstein, S; Godoy, VG; Hong, SH</t>
  </si>
  <si>
    <t>Lewis, Kim; Epstein, Slava; Godoy, Veronica G.; Hong, Sun-Hee</t>
  </si>
  <si>
    <t>Intact DNA in ancient permafrost</t>
  </si>
  <si>
    <t>TRENDS IN MICROBIOLOGY</t>
  </si>
  <si>
    <t>ANTARCTIC ICE; SEA-ICE; SURVIVAL; MICROORGANISMS; BACTERIUM; HABITAT; GROWTH; DEEP; ACID</t>
  </si>
  <si>
    <t>Contrary to the generally held notions about microbial survival, the recently published paper by Johnson et al., 'Ancient bacteria show evidence of DNA repair', presents evidence suggesting that non-spore-forming bacteria in ancient samples are apparently alive, as judged by intact DNA, and fare better than spores. The data presented in this work raise intriguing questions about the nature of bacteria in many of the ancient samples reported to date: are they spores, persisters, sessile vegetative cells or do they make up a slow-growing population?</t>
  </si>
  <si>
    <t>[Lewis, Kim; Epstein, Slava; Godoy, Veronica G.; Hong, Sun-Hee] Northeastern Univ, Dept Biol, Boston, MA 02115 USA</t>
  </si>
  <si>
    <t>Northeastern University</t>
  </si>
  <si>
    <t>Lewis, K (corresponding author), Northeastern Univ, Dept Biol, Boston, MA 02115 USA.</t>
  </si>
  <si>
    <t>k.lewis@neu.edu</t>
  </si>
  <si>
    <t>0966-842X</t>
  </si>
  <si>
    <t>1878-4380</t>
  </si>
  <si>
    <t>TRENDS MICROBIOL</t>
  </si>
  <si>
    <t>Trends Microbiol.</t>
  </si>
  <si>
    <t>10.1016/j.tim.2008.01.002</t>
  </si>
  <si>
    <t>280UG</t>
  </si>
  <si>
    <t>WOS:000254451200002</t>
  </si>
  <si>
    <t>Albert, E; Cooling, N; Tooth, M; Scott, P; Ayton, J; Watzl, R</t>
  </si>
  <si>
    <t>Albert, Edi; Cooling, Nick; Tooth, Michael; Scott, Paul; Ayton, Jeff; Watzl, Roland</t>
  </si>
  <si>
    <t>Development of the special skills post in expedition medicine for general practice registrars in Australia</t>
  </si>
  <si>
    <t>WILDERNESS &amp; ENVIRONMENTAL MEDICINE</t>
  </si>
  <si>
    <t>expedition medicine education; special skills post in general practice training</t>
  </si>
  <si>
    <t>MOUNTAIN MEDICINE; EDUCATION; WILDERNESS</t>
  </si>
  <si>
    <t>Wilderness, mountain, and expedition medicine training for physicians is now well developed in North America and Europe. This paper describes the development and content of the first such program in Australia. The Special Skills Post in Expedition Medicine is a 6-month post, developed by General Practice Training Tasmania, that is integrated into general practice training and combines clinical placements in travel medicine, general practice, emergency medicine, a self-guided workbook covering core and elective topics, and an 8-day field trip.</t>
  </si>
  <si>
    <t>[Albert, Edi; Cooling, Nick] Gen Practice Training Tasmania, Newtown, Tas 7020, Australia; [Tooth, Michael] Sandy Bay Clin, Travel Med Alliance, Sandy Bay, Tas, Australia; [Scott, Paul] Drysdale Inst, Hobart, Tas, Australia; [Ayton, Jeff; Watzl, Roland] Australian Govt Antarctic Div, Kingston, Tas, Australia</t>
  </si>
  <si>
    <t>Albert, E (corresponding author), Gen Practice Training Tasmania, 206 Newtown Rd, Newtown, Tas 7020, Australia.</t>
  </si>
  <si>
    <t>Edi.Albert@gptt.com.au</t>
  </si>
  <si>
    <t>Ayton, Jeffrey/0000-0003-4012-6719</t>
  </si>
  <si>
    <t>ALLIANCE COMMUNICATIONS GROUP DIVISION ALLEN PRESS</t>
  </si>
  <si>
    <t>810 EAST 10TH STREET, LAWRENCE, KS 66044 USA</t>
  </si>
  <si>
    <t>1080-6032</t>
  </si>
  <si>
    <t>WILD ENVIRON MED</t>
  </si>
  <si>
    <t>Wildern. Environ. Med.</t>
  </si>
  <si>
    <t>10.1580/07-WEME-WI-100.1</t>
  </si>
  <si>
    <t>Public, Environmental &amp; Occupational Health; Sport Sciences</t>
  </si>
  <si>
    <t>279PL</t>
  </si>
  <si>
    <t>WOS:000254367000013</t>
  </si>
  <si>
    <t>Larsen, LB; Vinther, BM; Briffa, KR; Melvin, TM; Clausen, HB; Jones, PD; Siggaard-Andersen, ML; Hammer, CU; Eronen, M; Grudd, H; Gunnarson, BE; Hantemirov, RM; Naurzbaev, MM; Nicolussi, K</t>
  </si>
  <si>
    <t>Larsen, L. B.; Vinther, B. M.; Briffa, K. R.; Melvin, T. M.; Clausen, H. B.; Jones, P. D.; Siggaard-Andersen, M. -L.; Hammer, C. U.; Eronen, M.; Grudd, H.; Gunnarson, B. E.; Hantemirov, R. M.; Naurzbaev, M. M.; Nicolussi, K.</t>
  </si>
  <si>
    <t>New ice core evidence for a volcanic cause of the AD 536 dust veil</t>
  </si>
  <si>
    <t>TREE-RING CHRONOLOGY; CLIMATE VARIABILITY; HOLOCENE; ERUPTIONS; LAPLAND; DOME; KYR</t>
  </si>
  <si>
    <t>New and well-dated evidence of sulphate deposits in Greenland and Antarctic ice cores indicate a substantial and extensive atmospheric acidic dust veil at A. D. 533-534 +/- 2 years. This was likely produced by a large explosive, near equatorial volcanic eruption, causing widespread dimming and contributing to the abrupt cooling across much of the Northern Hemisphere known from historical records and tree-ring data to have occurred in A. D. 536. Tree-ring data suggest that this was the most severe and protracted short-term cold episode across the Northern Hemisphere in the last two millennia, even surpassing the severity of the cold period following the Tambora eruption in 1815.</t>
  </si>
  <si>
    <t>[Larsen, L. B.; Vinther, B. M.; Clausen, H. B.; Siggaard-Andersen, M. -L.; Hammer, C. U.] Univ Copenhagen, Niels Bohr Inst, Ctr Ice &amp; Climate, DK-2100 Copenhagen, Denmark; [Vinther, B. M.; Briffa, K. R.; Melvin, T. M.; Jones, P. D.] Univ E Anglia, Sch Environm Sci, Climat Res Unit, Norwich NR4 7TJ, Norfolk, England; [Eronen, M.] Univ Helsinki, Dept Geol, FI-00014 Helsinki, Finland; [Grudd, H.; Gunnarson, B. E.] Stockholm Univ, Dept Phys Geog &amp; Quaternary Geol, S-10691 Stockholm, Sweden; [Hantemirov, R. M.] Russian Acad Sci, Ural Branch, Inst Plant &amp; Anim Ecol, Lab Dendrochronol, Ekaterinburg 620144, Russia; [Naurzbaev, M. M.] Russian Acad Sci, Siberian Branch, Sukachev Inst Forest, Dendroecol Dept, Krasnoyarsk 660036, Russia; [Nicolussi, K.] Univ Innsbruck, Inst Geog, A-6020 Innsbruck, Austria</t>
  </si>
  <si>
    <t>University of Copenhagen; Niels Bohr Institute; University of East Anglia; University of Helsinki; Stockholm University; Russian Academy of Sciences; Institute of Plant &amp; Animal Ecology of the Russian Academy of Sciences; Russian Academy of Sciences; Krasnoyarsk Science Center of the Siberian Branch of the Russian Academy of Sciences; Sukachev Institute of Forest, Siberian Branch, Russian Academy of Sciences; University of Innsbruck</t>
  </si>
  <si>
    <t>Larsen, LB (corresponding author), Univ Copenhagen, Niels Bohr Inst, Ctr Ice &amp; Climate, Juliane Maries Vej 30, DK-2100 Copenhagen, Denmark.</t>
  </si>
  <si>
    <t>bo@gfy.ku.dk</t>
  </si>
  <si>
    <t>Gunnarson, Björn/AAL-1309-2021; Jones, Philip Douglas/C-8718-2009; Grudd, Håkan/G-7952-2012; Briffa, Keith R/C-8834-2009; Hantemirov, Rashit/E-9674-2011</t>
  </si>
  <si>
    <t>Jones, Philip Douglas/0000-0001-5032-5493; Grudd, Håkan/0000-0002-9033-2505; Vinther, Bo/0000-0002-6078-771X; Briffa, Keith/0000-0003-3323-3639; Hantemirov, Rashit/0000-0003-3033-8312; Nicolussi, Kurt/0000-0002-1737-4119</t>
  </si>
  <si>
    <t>Natural Environment Research Council [NER/T/S/2002/00440] Funding Source: researchfish</t>
  </si>
  <si>
    <t>FEB 29</t>
  </si>
  <si>
    <t>L04708</t>
  </si>
  <si>
    <t>10.1029/2007GL032450</t>
  </si>
  <si>
    <t>270IV</t>
  </si>
  <si>
    <t>WOS:000253715400004</t>
  </si>
  <si>
    <t>Levy, JS; Head, JW; Marchant, DR; Kowalewski, DE</t>
  </si>
  <si>
    <t>Levy, Joseph S.; Head, James W.; Marchant, David R.; Kowalewski, Douglas E.</t>
  </si>
  <si>
    <t>Identification of sublimation-type thermal contraction crack polygons at the proposed NASA Phoenix landing site: Implications for substrate properties and climate-driven morphological evolution</t>
  </si>
  <si>
    <t>MIOCENE GLACIER ICE; BEACON VALLEY; SUBSURFACE ICE; NEAR-SURFACE; GROUND ICE; MARS; ANTARCTICA; EARTH; FEATURES; WATER</t>
  </si>
  <si>
    <t>We identify a surface within the NASA Phoenix landing site Area D characterized by boulder-topped, polygonally-patterned mounds comparable in radius and cross-sectional morphology to terrestrial sublimation polygons found in Antarctica. Both Martian and Antarctic polygons display topographic asymmetry, with shallow equator-facing slopes and steep pole-facing slopes, interpreted to indicate insolation-dependent, differential sublimation of buried ice. On the basis of morphological similarities, we classify the Phoenix Box 1 polygons as sublimation polygons. Terrestrial sublimation polygons form where ice volumes exceeding available pore space occur in the shallow subsurface and where near-surface conditions are too cold and dry to permit the development of saturated active layers: conditions comparable to those recently modeled for Mars in the Phoenix landing site Area D, Box 1. The identification of sublimation polygons on Mars would provide direct evidence for shallow, ground ice exceeding pore-ice volumes and shed light on the emplacement mechanism of this ice.</t>
  </si>
  <si>
    <t>[Levy, Joseph S.; Head, James W.] Brown Univ, Dept Geol Sci, Providence, RI 02912 USA; [Marchant, David R.; Kowalewski, Douglas E.] Boston Univ, Dept Earth Sci, Boston, MA 02215 USA</t>
  </si>
  <si>
    <t>Brown University; Boston University</t>
  </si>
  <si>
    <t>Levy, JS (corresponding author), Brown Univ, Dept Geol Sci, 324 Brook St,Box 1846, Providence, RI 02912 USA.</t>
  </si>
  <si>
    <t>joseph_levy@brown.edu</t>
  </si>
  <si>
    <t>Levy, Joseph/0000-0002-6222-139X; Kowalewski, Douglas/0000-0002-7847-026X</t>
  </si>
  <si>
    <t>FEB 27</t>
  </si>
  <si>
    <t>L04202</t>
  </si>
  <si>
    <t>10.1029/2007GL032813</t>
  </si>
  <si>
    <t>270IT</t>
  </si>
  <si>
    <t>WOS:000253715200004</t>
  </si>
  <si>
    <t>Hei, H; Tsuda, T; Hirooka, T</t>
  </si>
  <si>
    <t>Hei, Hayato; Tsuda, Toshitaka; Hirooka, Toshihiko</t>
  </si>
  <si>
    <t>Characteristics of atmospheric gravity wave activity in the polar regions revealed by GPS radio occultation data with CHAMP</t>
  </si>
  <si>
    <t>TEMPERATURE-FLUCTUATIONS; MIDDLE ATMOSPHERE; STRATOSPHERE</t>
  </si>
  <si>
    <t>Using GPS radio occultation data during 2001-2005, we studied the climatological behavior of atmospheric gravity waves in the polar stratosphere. We calculated temperature fluctuations with vertical wavelengths shorter than 7 km and then determined the wave potential energy, E-p, every month in a longitude-latitude cell of 20 degrees x 10 degrees between 12 km and 33 km. In the Arctic region (50-90 degrees N), E-p shows an annual variation with maximum in winter, consistent with the zonal mean horizontal wind, V, and the Eliassen-Palm ( E-P) flux, F-z. The large F-z values indicate higher planetary wave activity, resulting in distortion of the polar vortex. The unbalanced flow can then excite gravity waves through geostrophic adjustment. In the Antarctic region (50-90 degrees N), E-p gradually increases during winter and reaches its maximum in spring before decreasing rapidly. The time derivative of V coincides with the Ep peak and the horizontal distribution of E-p has a similar structure to V, suggesting that the E-p enhancement is closely related to the decay of the polar vortex. During major warming events over the Arctic, the divergence of E-P flux, Delta F, was enhanced, coinciding with large E-p. In the Antarctic, Delta F strongly correlates with E-p in spring. Gravity waves seem to be effectively generated through planetary wave transience and/or breaking. Orographic generation of gravity waves seems to be important in limited areas only, such as Scandinavia and the Antarctic Peninsula, showing that it is less important than the polar night jet in determining the climatological behavior of gravity waves.</t>
  </si>
  <si>
    <t>[Hei, Hayato; Tsuda, Toshitaka] Kyoto Univ, Res Inst Sustainable Humanosphere, Kyoto 6110011, Japan; [Hirooka, Toshihiko] Kyushu Univ, Dept Earth Planetary Sci, Fukuoka 8128581, Japan</t>
  </si>
  <si>
    <t>Kyoto University; Kyushu University</t>
  </si>
  <si>
    <t>Hei, H (corresponding author), Kyoto Univ, Res Inst Sustainable Humanosphere, Kyoto 6110011, Japan.</t>
  </si>
  <si>
    <t>tsuda@rish.kyoto-u.ac.jp</t>
  </si>
  <si>
    <t>Hirooka, Toshihiko/ADU-2259-2022; Tsuda, Toshitaka/GYJ-4925-2022; tsuda, toshitaka/A-3035-2015</t>
  </si>
  <si>
    <t>D4</t>
  </si>
  <si>
    <t>D04107</t>
  </si>
  <si>
    <t>10.1029/2007JD008938</t>
  </si>
  <si>
    <t>270IZ</t>
  </si>
  <si>
    <t>WOS:000253715800002</t>
  </si>
  <si>
    <t>Clarke, A; Tyler, PA</t>
  </si>
  <si>
    <t>Clarke, Andrew; Tyler, Paul A.</t>
  </si>
  <si>
    <t>Adult Antarctic krill feeding at abyssal depths</t>
  </si>
  <si>
    <t>EUPHAUSIA-SUPERBA; PENINSULA; SEA; WEST</t>
  </si>
  <si>
    <t>Antarctic krill (Euphausia superba) is a large euphausiid, widely distributed within the Southern Ocean [1], and a key species in the Antarctic food web [2]. The Discovery Investigations in the early 20(th) century, coupled with subsequent work with both nets and echosounders, indicated that the bulk of the population of postlarval krill is typically confined to the top 150 m of the water column [1, 3, 4]. Here, we report for the first time the existence of significant numbers of Antarctic krill feeding actively at abyssal depths in the Southern Ocean. Biological observations from the deep-water remotely operated vehicle Isis in the austral summer of 2006/07 have revealed the presence of adult krill (Euphausia superba Dana), including gravid females, at unprecedented depths in Marguerite Bay, western Antarctic Peninsula. Adult krill were found close to the seabed at all depths but were absent from fjords close inshore. At all locations where krill were detected they were seen to be actively feeding, and at many locations there were exuviae (cast molts). These observations revise significantly our understanding of the depth distribution and ecology of Antarctic krill, a central organism in the Southern Ocean ecosystem.</t>
  </si>
  <si>
    <t>[Clarke, Andrew] British Antarctic Survey, Cambridge CB3 0ET, England; [Tyler, Paul A.] Univ Southampton, Natl Oceanog Ctr, Southampton SO14 3ZH, Hants, England</t>
  </si>
  <si>
    <t>UK Research &amp; Innovation (UKRI); Natural Environment Research Council (NERC); NERC British Antarctic Survey; University of Southampton; NERC National Oceanography Centre</t>
  </si>
  <si>
    <t>Clarke, A (corresponding author), British Antarctic Survey, High Cross,Madingley Rd, Cambridge CB3 0ET, England.</t>
  </si>
  <si>
    <t>accl@bas.ac.uk</t>
  </si>
  <si>
    <t>NERC [NE/D008352/1, bas010017] Funding Source: UKRI; Natural Environment Research Council [bas010017, NE/D008352/1] Funding Source: researchfish</t>
  </si>
  <si>
    <t>FEB 26</t>
  </si>
  <si>
    <t>10.1016/j.cub.2008.01.059</t>
  </si>
  <si>
    <t>266XF</t>
  </si>
  <si>
    <t>WOS:000253470300028</t>
  </si>
  <si>
    <t>Campbell, RA; Gales, NJ; Lento, GM; Baker, CS</t>
  </si>
  <si>
    <t>Campbell, R. A.; Gales, N. J.; Lento, G. M.; Baker, C. S.</t>
  </si>
  <si>
    <t>Islands in the sea:: extreme female natal site fidelity in the Australian sea lion, Neophoca cinerea</t>
  </si>
  <si>
    <t>BIOLOGY LETTERS</t>
  </si>
  <si>
    <t>MITOCHONDRIAL-DNA; BREEDING CYCLE; CONTROL-REGION; CONSERVATION; CALIFORNIA</t>
  </si>
  <si>
    <t>Pinnipeds (seals, fur seals, sea lions and walrus) form large breeding aggregations with females often remaining faithful to a natal site or area. In these cases, females are philopatric to regional areas on broad geographical scales of hundreds to thousands of kilometres. An investigation of variation in a control region sequence of mtDNA in the Australian sea lion (Neophoca cinerea) has shown a case of extreme female natal site fidelity that has resulted in almost fixed population differentiation across its range (Phi(ST) = 0.93). This high level of population subdivision over short geographical distances (approx. 60 km) is unparalleled in any social marine mammal and reflects the unique lifehistory traits of this rare species. The high level of population subdivision and exclusive female natal site fidelity has important ramifications for conservation management, and poses many interesting questions of both academic and applied interest.</t>
  </si>
  <si>
    <t>[Campbell, R. A.] Univ Western Australia, Dept Zool, Nedlands, WA 6907, Australia; [Gales, N. J.] Australian Antarctic Div, Kingston, Tas 7050, Australia; [Lento, G. M.; Baker, C. S.] Univ Auckland, Sch Biol Sci, Auckland 92019, New Zealand</t>
  </si>
  <si>
    <t>University of Western Australia; Australian Antarctic Division; University of Auckland</t>
  </si>
  <si>
    <t>Campbell, RA (corresponding author), Dept Fisheries Res, POB 20, North Beach, WA 6920, Australia.</t>
  </si>
  <si>
    <t>richard.campbell@fish.wa.gov.au</t>
  </si>
  <si>
    <t>1744-9561</t>
  </si>
  <si>
    <t>BIOL LETTERS</t>
  </si>
  <si>
    <t>Biol. Lett.</t>
  </si>
  <si>
    <t>FEB 23</t>
  </si>
  <si>
    <t>10.1098/rsbl.2007.0487</t>
  </si>
  <si>
    <t>249FM</t>
  </si>
  <si>
    <t>WOS:000252212900044</t>
  </si>
  <si>
    <t>Monaghan, AJ; Bromwich, DH; Chapman, W; Comiso, JC</t>
  </si>
  <si>
    <t>Monaghan, Andrew J.; Bromwich, David H.; Chapman, William; Comiso, Josefino C.</t>
  </si>
  <si>
    <t>Recent variability and trends of Antarctic near-surface temperature</t>
  </si>
  <si>
    <t>HEMISPHERE ANNULAR MODE; SOUTHERN-HEMISPHERE; CLIMATE VARIABILITY; MASS-BALANCE; OSCILLATION; ACCUMULATION; CIRCULATION; ANOMALIES; PATTERNS; ERA-40</t>
  </si>
  <si>
    <t>A new monthly 1 degrees x 1 degrees Antarctic near-surface temperature reconstruction for 1960-2005 is presented. The use of numerical model fields to establish spatial relationships between fifteen continuous observational temperature records and the voids to which they are interpolated inherently accounts for the effects of the atmospheric circulation and topography on temperature variability. Employing a fixed observation network ensures that the reconstruction uncertainty remains constant in time. Comparison with independent observations indicates that the reconstruction and two other gridded observational temperature records are useful for evaluating regional near-surface temperature variability and trends throughout Antarctica. The reconstruction has especially good skill at reproducing temperature trends during the warmest months when melt contributes to ice sheet mass loss. The spatial variability of monthly near-surface temperature trends is strongly dependent on the season and time period analyzed. Statistically insignificant (p &gt; 0.05) positive trends occur over most regions and months during 1960-2005. By contrast, 1970-2005 trends are weakly negative overall, consistent with positive trends in the Southern Hemisphere Annular Mode (SAM) during summer and autumn. Subtle near-surface temperature increases during winter from 1970 to 2000 are consistent with tropospheric warming from radiosonde records and a lack of winter SAM trends. Widespread but statistically insignificant (p &gt; 0.05) warming over Antarctica from 1992 to 2005 coincides with a leveling off of upward SAM trends during summer and autumn since the mid-1990s. Weakly significant annual trends (p &lt; 0.10) of about +1 K decade(-1) are found at three stations in interior and coastal East Antarctica since 1992. The subtle shift toward warming during the past 15 years raises the question of whether the recent trends are linked more closely to anthropogenic influences or multidecadal variability.</t>
  </si>
  <si>
    <t>[Monaghan, Andrew J.; Bromwich, David H.] Ohio State Univ, Byrd Polar Res Ctr, Polar Meteorol Grp, Columbus, OH 43210 USA; [Bromwich, David H.] Ohio State Univ, Dept Geog, Atmospher Sci Program, Columbus, OH 43210 USA; [Chapman, William] Univ Illinois, Dept Atmospher Sci, Urbana, IL 61081 USA; [Comiso, Josefino C.] NASA, Goddard Space Flight Ctr, Cryospher Sci Branch, Greenbelt, MD 20771 USA</t>
  </si>
  <si>
    <t>University System of Ohio; Ohio State University; University System of Ohio; Ohio State University; University of Illinois System; University of Illinois Urbana-Champaign; National Aeronautics &amp; Space Administration (NASA); NASA Goddard Space Flight Center</t>
  </si>
  <si>
    <t>Monaghan, AJ (corresponding author), Ohio State Univ, Byrd Polar Res Ctr, Polar Meteorol Grp, 1090 Carmack Rd, Columbus, OH 43210 USA.</t>
  </si>
  <si>
    <t>Bromwich, David H/C-9225-2016; Simoes, Jefferson Cardia/D-7232-2013</t>
  </si>
  <si>
    <t>Simoes, Jefferson Cardia/0000-0001-5555-3401; Monaghan, Andrew/0000-0002-8170-2359</t>
  </si>
  <si>
    <t>FEB 22</t>
  </si>
  <si>
    <t>D04105</t>
  </si>
  <si>
    <t>10.1029/2007JD009094</t>
  </si>
  <si>
    <t>267TI</t>
  </si>
  <si>
    <t>WOS:000253531700006</t>
  </si>
  <si>
    <t>Brennan, CE; Matear, RJ; Keller, K</t>
  </si>
  <si>
    <t>Brennan, Catherine E.; Matear, Richard J.; Keller, Klaus</t>
  </si>
  <si>
    <t>Measuring oxygen concentrations to improve the detection capabilities of an ocean circulation observation array</t>
  </si>
  <si>
    <t>MERIDIONAL OVERTURNING CIRCULATION; ABRUPT CLIMATE-CHANGE; NORTH-ATLANTIC OCEAN; DEEP-WATER FORMATION; THERMOHALINE CIRCULATION; HYDROGRAPHIC DATA; ATMOSPHERE MODEL; TIMELY DETECTION; CARBON BUDGET; COUPLED MODEL</t>
  </si>
  <si>
    <t>The North Atlantic meridional overturning circulation (MOC) may weaken or even collapse in response to anthropogenic climate forcing, with potentially nontrivial socioeconomic impacts. One currently implemented MOC observation system uses temperature and salinity ( as well as other) observations along a zonal transect in the North Atlantic. The resulting MOC estimate has, however, a relatively low signal-to-noise ratio due to large internal variability and observation errors. Observations of hydrographic tracers that are mechanistically linked to MOC changes may increase the signal-to-noise ratio. A MOC slowdown is associated in model simulations with a shoaling of the boundary between North Atlantic Deep Water and Antarctic Bottom Water. This shoaling results in detectable trends in water mass tracers. Here we deploy a virtual observation array into a numerical model starting in model year 2006 to test whether observing the apparent oxygen utilization (AOU) in addition to the MOC estimate improves detection capabilities. Our detection method accounts for observation errors, autocorrelated variability, and uncertainty about the initial conditions. Neglecting the effects of observation errors and the uncertainty about the initial conditions results in artificially early detection times. The MOC signal alone enables reliable detection in roughly five decades. Adding AOU observations reduces this detection time by approximately 40%.</t>
  </si>
  <si>
    <t>[Matear, Richard J.] CSIRO MArine &amp; Atmospher Res, Hobart, Tas, Australia; [Brennan, Catherine E.; Keller, Klaus] Penn State Univ, Dept Geosci, University Pk, PA 16802 USA</t>
  </si>
  <si>
    <t>Commonwealth Scientific &amp; Industrial Research Organisation (CSIRO); Pennsylvania Commonwealth System of Higher Education (PCSHE); Pennsylvania State University; Pennsylvania State University - University Park</t>
  </si>
  <si>
    <t>Brennan, CE (corresponding author), Univ Victoria, Sch Earth &amp; Ocean Sci, Victoria, BC, Canada.</t>
  </si>
  <si>
    <t>Keller, Klaus/A-6742-2013; matear, richard/C-5133-2011</t>
  </si>
  <si>
    <t>Brennan, Catherine/0000-0003-2593-7222; matear, richard/0000-0002-3225-0800</t>
  </si>
  <si>
    <t>C2</t>
  </si>
  <si>
    <t>C02019</t>
  </si>
  <si>
    <t>10.1029/2007JC004113</t>
  </si>
  <si>
    <t>267TQ</t>
  </si>
  <si>
    <t>WOS:000253532500001</t>
  </si>
  <si>
    <t>Comiso, JC; Nishio, F</t>
  </si>
  <si>
    <t>Comiso, Josefino C.; Nishio, Fumihiko</t>
  </si>
  <si>
    <t>Trends in the sea ice cover using enhanced and compatible AMSR-E, SSM/I, and SMMR data</t>
  </si>
  <si>
    <t>PASSIVE MICROWAVE; SATELLITE; VARIABILITY; PARAMETERS; ALGORITHM; SURFACE</t>
  </si>
  <si>
    <t>Arguably, the most remarkable manifestation of change in the polar regions is the rapid decline in the Arctic perennial ice cover. Changes in the global sea ice cover, however, have been more modest, being only slightly negative in the Northern Hemisphere and even slightly positive in the Southern Hemisphere, the significance of which has not been adequately assessed because of unknown errors in the satellite historical data. Recent Advanced Microwave Scanning Radiometer (AMSR-E) high-resolution data are used as the baseline for generating an enhanced sea ice data set used in this study. Brightness temperature data from historical Special Scanning Microwave Imager (SSM/I) and Scanning Multichannel Microwave Radiometer (SMMR) sensors were normalized to be consistent with those from AMSR-E, and sea ice parameters were derived from all three data sets using the same algorithm for optimum consistency and accuracy. A small bias in sea ice extent is observed between AMSR- E and SSM/I data which, if uncorrected, causes an error of 0.62%/decade in the Arctic and 0.26%/decade in the Antarctic. Similar corrections are not needed in trend estimates of sea ice area. Biases due to seasonal changes in the accuracy of ice edge determinations, especially during melt periods, were also evaluated, and impacts on the trend results appear to be small. When updated to 2006, the trends in ice extent and area in the Arctic are now slightly more negative at -3.4 +/- 0.2 and -4.0 +/- 0.2% per decade, respectively, while the corresponding trends in the Antarctic remains slight but positive at 0.9 +/- 0.2 and 1.7 +/- 0.3% per decade.</t>
  </si>
  <si>
    <t>[Comiso, Josefino C.] NASA, Goddard Space Flight Ctr, Cryospher Sci Branch, Greenbelt, MD USA; [Nishio, Fumihiko] Chiba Univ, Ctr Environm Remote Sensing, Chiba, Japan</t>
  </si>
  <si>
    <t>National Aeronautics &amp; Space Administration (NASA); NASA Goddard Space Flight Center; Chiba University</t>
  </si>
  <si>
    <t>Comiso, JC (corresponding author), NASA, Goddard Space Flight Ctr, Cryospher Sci Branch, Greenbelt, MD USA.</t>
  </si>
  <si>
    <t>C02S07</t>
  </si>
  <si>
    <t>10.1029/2007JC004257</t>
  </si>
  <si>
    <t>WOS:000253532500002</t>
  </si>
  <si>
    <t>Moore, RB; Oborník, M; Janouskovec, J; Chrudimsky, T; Vancová, M; Green, DH; Wright, SW; Davies, NW; Bolch, CJS; Heimann, K; Slapeta, J; Hoegh-Guldberg, O; Logsdon, JM; Carter, DA</t>
  </si>
  <si>
    <t>Moore, Robert B.; Obornik, Miroslav; Janouskovec, Jan; Chrudimsky, Tomas; Vancova, Marie; Green, David H.; Wright, Simon W.; Davies, Noel W.; Bolch, Christopher J. S.; Heimann, Kirsten; Slapeta, Jan; Hoegh-Guldberg, Ove; Logsdon, John M., Jr.; Carter, Dee A.</t>
  </si>
  <si>
    <t>A photosynthetic alveolate closely related to apicomplexan parasites</t>
  </si>
  <si>
    <t>CRYPTOSPORIDIUM-PARVUM; TOXOPLASMA-GONDII; COMMON ORIGIN; DINOFLAGELLATE; PHYLOGENY; DIVERSITY; SPOROZOAN; PLASTIDS; TAXONOMY; PROTEIN</t>
  </si>
  <si>
    <t>Many parasitic Apicomplexa, such as Plasmodium falciparum, contain an unpigmented chloroplast remnant termed the apicoplast, which is a target for malaria treatment. However, no close relative of apicomplexans with a functional photosynthetic plastid has yet been described. Here we describe a newly cultured organism that has ultrastructural features typical for alveolates, is phylogenetically related to apicomplexans, and contains a photosynthetic plastid. The plastid is surrounded by four membranes, is pigmented by chlorophyll a, and uses the codon UGA to encode tryptophan in the psbA gene. This genetic feature has been found only in coccidian apicoplasts and various mitochondria. The UGA-Trp codon and phylogenies of plastid and nuclear ribosomal RNA genes indicate that the organism is the closest known photosynthetic relative to apicomplexan parasites and that its plastid shares an origin with the apicoplasts. The discovery of this organism provides a powerful model with which to study the evolution of parasitism in Apicomplexa.</t>
  </si>
  <si>
    <t>[Moore, Robert B.; Carter, Dee A.] Univ Sydney, Sch Mol &amp; Microbial Biosci, Darlington, NSW 2006, Australia; [Moore, Robert B.; Logsdon, John M., Jr.] Univ Iowa, Roy J Carver Ctr Comparat Genom, Dept Biol Sci, Iowa City, IA 52242 USA; [Obornik, Miroslav; Janouskovec, Jan; Chrudimsky, Tomas; Vancova, Marie] Acad Sci Czech Republ, Ctr Biol, Inst Parasitol, Ceske Budejovice 37005, Czech Republic; [Obornik, Miroslav; Janouskovec, Jan; Chrudimsky, Tomas; Vancova, Marie] Univ S Bohemia, Fac Sci, Ceske Budejovice 37005, Czech Republic; [Green, David H.] Dunstaffnage Marine Lab Oban, Scottish Assoc Marine Sci, Argyll PA37 1QA, Scotland; [Wright, Simon W.] Australian Antarctic Div, Kingston, Tas 7050, Australia; [Davies, Noel W.] Univ Tasmania, Cent Sci Lab, Hobart, Tas 7001, Australia; [Bolch, Christopher J. S.] Univ Tasmania, Sch Aquaculture, Launceston, Tas 7250, Australia; [Heimann, Kirsten] James Cook Univ N Queensland, Sch Marine &amp; Trop Biol, Townsville, Qld 4811, Australia; [Slapeta, Jan] Univ Sydney, Fac Vet Sci, Camperdown, NSW 2006, Australia; [Hoegh-Guldberg, Ove] Univ Queensland, Ctr Marine Studies, St Lucia, Qld 4072, Australia</t>
  </si>
  <si>
    <t>University of Sydney; University of Iowa; Czech Academy of Sciences; Biology Centre of the Czech Academy of Sciences; University of South Bohemia Ceske Budejovice; Australian Antarctic Division; University of Tasmania; University of Tasmania; James Cook University; University of Sydney; University of Queensland</t>
  </si>
  <si>
    <t>Carter, DA (corresponding author), Univ Sydney, Sch Mol &amp; Microbial Biosci, Darlington, NSW 2006, Australia.</t>
  </si>
  <si>
    <t>d.carter@mmb.usyd.edu.au</t>
  </si>
  <si>
    <t>Chrudimský, Tomáš/L-5628-2014; Slapeta, Jan/AFK-9404-2022; Hoegh-Guldberg, Ove/H-6169-2011; Heimann, Kirsten/C-4539-2012; Carter, Dee/C-1331-2010; Vancova, Marie/G-8347-2014; Logsdon, John M/B-7812-2009; Bolch, Christopher J/J-7619-2014; Hoegh-Guldberg, Ove/ABA-5420-2020; Heimann, Kirsten/M-4814-2019; Hoegh-Guldberg, Ove/HJP-1821-2023; Moore, Robert B/E-9619-2011; Janouškovec, Jan/ABA-2568-2021; Chrudimsky, Tomas/AFY-4389-2022; Obornik, Miroslav/G-9350-2014; Green, David/E-2533-2012; Davies, Noel/J-7714-2014</t>
  </si>
  <si>
    <t>Slapeta, Jan/0000-0003-1459-9117; Hoegh-Guldberg, Ove/0000-0001-7510-6713; Carter, Dee/0000-0002-4638-0059; Vancova, Marie/0000-0003-0678-8268; Hoegh-Guldberg, Ove/0000-0001-7510-6713; Heimann, Kirsten/0000-0003-2691-9659; Janouškovec, Jan/0000-0001-6547-749X; Chrudimsky, Tomas/0009-0009-5970-767X; Green, David/0000-0001-7499-6021; Davies, Noel/0000-0002-9624-0935</t>
  </si>
  <si>
    <t>Natural Environment Research Council [dml010007] Funding Source: researchfish; NERC [dml010007] Funding Source: UKRI</t>
  </si>
  <si>
    <t>FEB 21</t>
  </si>
  <si>
    <t>10.1038/nature06635</t>
  </si>
  <si>
    <t>264TK</t>
  </si>
  <si>
    <t>WOS:000253313100041</t>
  </si>
  <si>
    <t>Tortell, PD; Payne, CD; Li, YY; Trimborn, S; Rost, B; Smith, WO; Riesselman, C; Dunbar, RB; Sedwick, P; DiTullio, GR</t>
  </si>
  <si>
    <t>Tortell, Philippe D.; Payne, Christopher D.; Li, Yingyu; Trimborn, Scarlett; Rost, Bjoern; Smith, Walker O.; Riesselman, Christina; Dunbar, Robert B.; Sedwick, Pete; DiTullio, Giacomo R.</t>
  </si>
  <si>
    <t>CO2 sensitivity of Southern Ocean phytoplankton</t>
  </si>
  <si>
    <t>ANTARCTIC CIRCUMPOLAR CURRENT; DISSOLVED ORGANIC-CARBON; MARINE-PHYTOPLANKTON; BIOLOGICAL RESPONSE; IRON FERTILIZATION; ROSS SEA; DIOXIDE; 170-DEGREES-W; PRODUCTIVITY; PLANKTON</t>
  </si>
  <si>
    <t>The Southern Ocean exerts a strong impact on marine biogeochemical cycles and global air-sea CO(2) fluxes. Over the coming century, large increases in surface ocean CO(2) levels, combined with increased upper water column temperatures and stratification, are expected to diminish Southern Ocean CO(2) uptake. These effects could be significantly modulated by concomitant CO(2)-dependent changes in the region's biological carbon pump. Here we show that CO(2) concentrations affect the physiology, growth and species composition of phytoplankton assemblages in the Ross Sea, Antarctica. Field results from in situ sampling and ship-board incubation experiments demonstrate that inorganic carbon uptake, steady-state productivity and diatom species composition are sensitive to CO(2) concentrations ranging from 100 to 800 ppm. Elevated CO(2) led to a measurable increase in phytoplankton productivity, promoting the growth of larger chain-forming diatoms. Our results suggest that CO(2) concentrations can influence biological carbon cycling in the Southern Ocean, thereby creating potential climate feedbacks.</t>
  </si>
  <si>
    <t>[Tortell, Philippe D.; Payne, Christopher D.; Li, Yingyu] Univ British Columbia, Dept Earth &amp; Ocean Sci, Vancouver, BC V6T 1Z4, Canada; [DiTullio, Giacomo R.] Univ Charleston, Hollings Marine Lab, Charleston, SC 29412 USA; [Riesselman, Christina; Dunbar, Robert B.] Stanford Univ, Stanford, CA 94305 USA; [Trimborn, Scarlett; Rost, Bjoern] Alfred Wegener Inst Polar &amp; Marine Res, D-27515 Bremerhaven, Germany; [Sedwick, Pete] Bermuda Inst Ocean Sci Inc, St Georges, Bermuda; [Smith, Walker O.] Virginia Inst Marine Sci, Gloucester Point, VA 23062 USA</t>
  </si>
  <si>
    <t>University of British Columbia; College of Charleston; Stanford University; Helmholtz Association; Alfred Wegener Institute, Helmholtz Centre for Polar &amp; Marine Research; Bermuda Institute of Ocean Sciences; William &amp; Mary; Virginia Institute of Marine Science</t>
  </si>
  <si>
    <t>Tortell, PD (corresponding author), Univ British Columbia, Dept Earth &amp; Ocean Sci, 6270 Univ Blvd, Vancouver, BC V6T 1Z4, Canada.</t>
  </si>
  <si>
    <t>ptortell@eos.ubc.ca</t>
  </si>
  <si>
    <t>Rost, Bjoern/B-4447-2015; Riesselman, Christina R/H-5037-2012; Trimborn, Scarlett/AAM-1061-2021; li, yingyu/A-1717-2012</t>
  </si>
  <si>
    <t>Rost, Bjoern/0000-0001-5452-5505; Trimborn, Scarlett/0000-0003-1434-9927; Riesselman, Christina/0000-0002-2436-4306; Tortell, Philippe/0000-0003-0212-2151; Sedwick, Peter/0000-0003-0663-8323; Dunbar, Robert/0000-0002-9728-5609</t>
  </si>
  <si>
    <t>FEB 20</t>
  </si>
  <si>
    <t>L04605</t>
  </si>
  <si>
    <t>10.1029/2007GL032583</t>
  </si>
  <si>
    <t>267TB</t>
  </si>
  <si>
    <t>WOS:000253531000005</t>
  </si>
  <si>
    <t>Dürkop, A; Holbourn, A; Kuhnt, W; Zuraida, R; Andersen, N; Grootes, PM</t>
  </si>
  <si>
    <t>Duerkop, Anke; Holbourn, Ann; Kuhnt, Wolfgang; Zuraida, Rina; Andersen, Nils; Grootes, Pieter M.</t>
  </si>
  <si>
    <t>Centennial-scale climate variability in the Timor Sea during Marine Isotope Stage 3</t>
  </si>
  <si>
    <t>Marine Isotope Stage 3; stable isotopes; foraminifera; Timor Sea; paleoclimate</t>
  </si>
  <si>
    <t>SURFACE OCEAN PRODUCTIVITY; AUSTRALIAN SUMMER MONSOON; BENTHIC FORAMINIFERA; BOTTOM WATER; LEEUWIN CURRENT; DEEP; ICE; PALEOPRODUCTIVITY; PHYTODETRITUS; GREENLAND</t>
  </si>
  <si>
    <t>We present a high-resolution (similar to 60-110 yr) multi-proxy record spanning Marine Isotope Stage 3 from IMAGES Core MD01-2378 (13 degrees 04.95' S and 121 degrees 47.27' E, 1783 in water depth), located in the Timor Sea, off NW Australia. Today, this area is influenced by the Intertropical Convergence Zone, which drives monsoonal winds during austral summer and by the main outflow of the Indonesian Throughflow, which represents a key component of the global thermohaline circulation system. Thus, this core is ideally situated to monitor the linkages between tropical and high latitude climate variability. Benthic delta O-18 data (Planulina wuellerstorfi) clearly reflect Antarctic warm events (A1-A4) as recorded by the EPICA Byrd and Dronning Maud Land ice cores. This southern high latitude signal is transferred by deep and intermediate water masses flowing northward from the Southern Ocean into the Indian Ocean. Planktonic delta O-18 shows closer affinity to northern high latitudes planktonic and ice core records, although only the longer-lasting Dansgaard-Oeschger warm events, 8, 12, 14, and 16-17 are clearly expressed in our record. This northern high latitude signal in the surface water is probably transmitted through atmospheric teleconnections and coupling of the Asian-Australian monsoon systems. Benthic foraminiferal census counts suggest a coupling of Antarctic cooling with carbon flux patterns in the Timor Sea. We relate increasing abundances of carbon-flux sensitive species at 38-45 ka to the northeastward migration of the West Australian Current frontal area. This water mass reorganization is also supported by concurrent decreases in Mg/Ca and planktonic delta O-18 values (Globigerinoides ruber white). (c) 2007 Elsevier B.V. All rights reserved.</t>
  </si>
  <si>
    <t>[Duerkop, Anke; Holbourn, Ann; Kuhnt, Wolfgang; Zuraida, Rina] Univ Kiel, Inst Geosci, D-24118 Kiel, Germany; [Zuraida, Rina] IFM, GEOMAR, Leibniz Inst Marine Sci, D-24148 Kiel, Germany; [Andersen, Nils; Grootes, Pieter M.] Univ Kiel, Leibniz Lab Radiometr Dating &amp; Stable Isotope Res, D-24118 Kiel, Germany</t>
  </si>
  <si>
    <t>University of Kiel; Helmholtz Association; GEOMAR Helmholtz Center for Ocean Research Kiel; University of Kiel</t>
  </si>
  <si>
    <t>Dürkop, A (corresponding author), Univ Kiel, Inst Geosci, Ludewig Meyn Str 10-14, D-24118 Kiel, Germany.</t>
  </si>
  <si>
    <t>anked@gpi.uni-kiel.de</t>
  </si>
  <si>
    <t>Grootes, Pieter M/F-4952-2011</t>
  </si>
  <si>
    <t>Grootes, Pieter/0000-0003-4265-3168; Holbourn, Ann/0000-0002-3167-0862</t>
  </si>
  <si>
    <t>10.1016/j.marmicro.2007.10.002</t>
  </si>
  <si>
    <t>276IH</t>
  </si>
  <si>
    <t>WOS:000254134000004</t>
  </si>
  <si>
    <t>Crosta, X; Denis, D; Ther, O</t>
  </si>
  <si>
    <t>Crosta, X.; Denis, D.; Ther, O.</t>
  </si>
  <si>
    <t>Sea ice seasonality during the Holocene, Adelie Land, East Antarctica</t>
  </si>
  <si>
    <t>Southern Ocean; sea ice; Holocene; diatoms</t>
  </si>
  <si>
    <t>SOUTHERN-OCEAN SEDIMENTS; LAST GLACIAL MAXIMUM; MAJOR DIATOM TAXA; ATLANTIC SECTOR; CLIMATE EVOLUTION; SURFACE SEDIMENTS; LATE PLEISTOCENE; INDIAN SECTOR; PALMER-DEEP; ROSS SEA</t>
  </si>
  <si>
    <t>Thin sections of laminated cores from different Antarctic coastal areas have demonstrated the potential of diatom species to document climate change at the seasonal scale. Here we present the relative abundances of four diatom species and species groups (Fragilariopsis curta group as a proxy for yearly sea ice cover, F kerguelensis as a proxy for summer sea-surface temperature, Chaetoceros Hyalochaete resting spores as a proxy for spring sea ice melting and the Thalassios ira antarctica group as a proxy for autumn sea ice formation) in core MD03-2601 retrieved off Adelic Land on the Antarctic continental shelf These abundances were compared to surface temperatures and sea ice cover modelled over the last 9000 years. Both the marine records and the simulated climate demonstrated a cooler Early Holocene (9000-7700 years BP), a warmer Mid-Holocene (7700-4000 years BP) and a colder Late Holocene (4000-1000 years BP). Yearly sea ice cover followed an inverse pattern to temperatures with less sea ice during the Mid-Holocene Hypsithermal than during the Late Holocene Neoglacial. However, diatom census counts and model output indicate that sea ice spring melting happened earlier in the season, as expected, but that autumn sea ice formation also occurred earlier in the season during the Hypsithermal than during the colder Neoglacial, thereby following seasonal changes in local insolation. (c) 2007 Elsevier B.V. All rights reserved.</t>
  </si>
  <si>
    <t>[Crosta, X.; Denis, D.; Ther, O.] EPOC, CNRS, UMR 5805, F-33405 Talence, France</t>
  </si>
  <si>
    <t>Centre National de la Recherche Scientifique (CNRS); CNRS - National Institute for Earth Sciences &amp; Astronomy (INSU)</t>
  </si>
  <si>
    <t>Crosta, X (corresponding author), EPOC, CNRS, UMR 5805, Ave Fac, F-33405 Talence, France.</t>
  </si>
  <si>
    <t>x.crosta@epoc.u-bordeaux1.fr</t>
  </si>
  <si>
    <t>10.1016/j.marmicro.2007.10.001</t>
  </si>
  <si>
    <t>WOS:000254134000005</t>
  </si>
  <si>
    <t>Noone, D</t>
  </si>
  <si>
    <t>Noone, David</t>
  </si>
  <si>
    <t>The influence of midlatitude and tropical overturning circulation on the isotopic composition of atmospheric water vapor and Antarctic precipitation</t>
  </si>
  <si>
    <t>ICE CORES; DELTA-O-18; ORIGIN; TRANSPORT; DEUTERIUM; MODEL; SNOW; ASSOCIATIONS; SIMULATIONS; VARIABILITY</t>
  </si>
  <si>
    <t>While isotope records from ice cores are known to reflect temperature, this must be associated with zonally symmetric circulation. A new conceptual depiction of the isotopic cycling is established by considering the overturning circulation in isentropic coordinates. In this depiction, poleward transport of air and water vapor is non-diffusive, in a way that is similar to that depicted by Rayleigh models. However, the equatorward return flow is also important since it is this which is supplied with water by surface evaporation. The isotopic state emerges as a balance between evaporative supply and poleward advection, and removes the need to assume some initial source condition for an open distillation. Model experiments that simulate a wide range of circulation strengths show the isotopic composition of Antarctic snow is strongly linked to the strength of midlatitude (eddy driven) circulation, which in turn is driven by meridional temperature differences. Antarctic isotopes are largely independent of the tropical (Hadley) circulation because the rate of advective transport from the tropics to the polar region exceeds the rate at which surface sources replenish the poleward moving air stream. Across all simulations and between seasons, the relationship between delta O-18 in Antarctica above 1500 m and local surface air temperature is found to be remarkably robust at around 0.69 parts per thousand/K in winter, 0.85 parts per thousand/K in summer and with a seasonal slope of 0.60 parts per thousand/K. Because these slopes result from changes in circulation, isotope records from the continent interior can be considered indicative of the history of overturning circulation.</t>
  </si>
  <si>
    <t>[Noone, David] Univ Colorado, Dept Atmospher &amp; Ocean Sci, Boulder, CO 80303 USA; [Noone, David] Univ Colorado, Inst Res Environm Sci, Boulder, CO 80303 USA</t>
  </si>
  <si>
    <t>University of Colorado System; University of Colorado Boulder; University of Colorado System; University of Colorado Boulder</t>
  </si>
  <si>
    <t>Noone, D (corresponding author), Univ Colorado, Dept Atmospher &amp; Ocean Sci, Campus Box 216, Boulder, CO 80303 USA.</t>
  </si>
  <si>
    <t>dcn@colorado.edu</t>
  </si>
  <si>
    <t>NOONE, DAVID/0000-0002-8642-7843</t>
  </si>
  <si>
    <t>FEB 19</t>
  </si>
  <si>
    <t>D04102</t>
  </si>
  <si>
    <t>10.1029/2007JD008892</t>
  </si>
  <si>
    <t>267TF</t>
  </si>
  <si>
    <t>WOS:000253531400002</t>
  </si>
  <si>
    <t>Massom, RA; Stammerjohn, SE; Lefebvre, W; Harangozo, SA; Adams, N; Scambos, TA; Pook, MJ; Fowler, C</t>
  </si>
  <si>
    <t>Massom, Robert A.; Stammerjohn, Sharon E.; Lefebvre, Wouter; Harangozo, Stephen A.; Adams, Neil; Scambos, Theodore A.; Pook, Michael J.; Fowler, Charles</t>
  </si>
  <si>
    <t>West Antarctic Peninsula sea ice in 2005: Extreme ice compaction and ice edge retreat due to strong anomaly with respect to climate</t>
  </si>
  <si>
    <t>SOUTHERN-HEMISPHERE CIRCULATION; ATMOSPHERIC CIRCULATION; OCEAN CIRCULATION; AIR-TEMPERATURE; ANNULAR MODE; OPEN WATER; VARIABILITY; EXTENT; OSCILLATION; SENSITIVITY</t>
  </si>
  <si>
    <t>In September-October 2005, the juxtaposition of low-and high-pressure anomalies at 130 degrees W and 60 degrees W, respectively, created strong and persistent northerly airflow across the West Antarctic Peninsula (WAP). This had a major impact on regional sea ice conditions, with extreme ice compaction in the Bellingshausen and East Amundsen seas (60 degrees W-130 degrees W) but divergence in the West Amundsen and East Ross seas. This resulted in the former in a highly compact marginal ice zone and ice cover, mean modeled ice thicknesses of &gt;5 m, and an earlier-than-average maximum extent (mid-August). While rapid ice retreat in late winter-spring created a major negative ice extent anomaly, compact ice persisted in the subsequent summer. Other effects were anomalies in air temperature (of +1 degrees C to +5 degrees C) and precipitation rates (to &gt;2.5 mm/d). The patterns in late 2005 are consistent with the occurrence of a weak La Nina and a near-neutral Southern Annular Mode, with a quasi-stationary zonal wave three pattern dominating hemispheric atmospheric circulation. Once a compact ice edge was created, it took only one additional week of strong winds to solidify'' the pack in place. Conditions in 2005 are analyzed in the context of 1979-2005 and compared with the springs of 1993, 1997, 1999, 2001, and 2004. A statistically significant increase of the northerly 10-m wind component between 110 degrees W and 125 degrees W occurred in the Septembers of 1979-2005. No clear trends occur in other spring months. This work underlines the key importance of ice dynamics in recent changes in the WAP sea ice regime.</t>
  </si>
  <si>
    <t>[Massom, Robert A.] Univ Tasmania, Australian Antarctic Div, Hobart, Tas 7001, Australia; [Massom, Robert A.; Adams, Neil] Antarctic Climate &amp; Ecosyst Cooperat Res Ctr, Hobart, Tas, Australia; [Stammerjohn, Sharon E.] Columbia Univ, Lamont Doherty Earth Observ, Palisades, NY 10964 USA; [Lefebvre, Wouter] Catholic Univ Louvain, Inst Astron &amp; Geophys Georges Lemaitre, B-1348 Louvain, Belgium; [Harangozo, Stephen A.] British Antarctic Survey, NERC, Cambridge CB3 0ET, England; [Adams, Neil] Australian Bur Meteorol, Hobart, Tas 7001, Australia; [Scambos, Theodore A.] Univ Colorado, Natl Snow &amp; Ice Data Ctr, Boulder, CO 80309 USA; [Pook, Michael J.] CSIRO, Div Marine &amp; Atmospher Res, Hobart, Tas 7001, Australia; [Fowler, Charles] Univ Colorado, Colorado Ctr Astrodynam Res, Boulder, CO 80309 USA</t>
  </si>
  <si>
    <t>Australian Antarctic Division; University of Tasmania; Antarctic Climate &amp; Ecosystems Cooperative Research Centre (ACE CRC); Columbia University; Universite Catholique Louvain; UK Research &amp; Innovation (UKRI); Natural Environment Research Council (NERC); NERC British Antarctic Survey; Bureau of Meteorology - Australia; University of Colorado System; University of Colorado Boulder; Commonwealth Scientific &amp; Industrial Research Organisation (CSIRO); University of Colorado System; University of Colorado Boulder</t>
  </si>
  <si>
    <t>Massom, RA (corresponding author), Univ Tasmania, Australian Antarctic Div, Private Bag 80, Hobart, Tas 7001, Australia.</t>
  </si>
  <si>
    <t>r.massom@acecrc.org.au</t>
  </si>
  <si>
    <t>Pook, Michael J/A-3810-2012; Scambos, Ted A/B-1856-2009; Lefebvre, Wouter/F-5610-2015</t>
  </si>
  <si>
    <t>Massom, Robert/0000-0003-1533-5084; STAMMERJOHN, SHARON/0000-0002-1697-8244; Lefebvre, Wouter/0000-0002-3277-3118; SCAMBOS, Ted A./0000-0003-4268-6322</t>
  </si>
  <si>
    <t>Office of Polar Programs (OPP); Directorate For Geosciences [0823101] Funding Source: National Science Foundation; NERC [bas010014] Funding Source: UKRI; Natural Environment Research Council [bas010014] Funding Source: researchfish</t>
  </si>
  <si>
    <t>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</si>
  <si>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C02S20</t>
  </si>
  <si>
    <t>10.1029/2007JC004239</t>
  </si>
  <si>
    <t>267TN</t>
  </si>
  <si>
    <t>WOS:000253532200002</t>
  </si>
  <si>
    <t>Le Bohec, C; Durant, JM; Gauthier-Clerc, M; Stenseth, NC; Park, YH; Pradel, R; Grémillet, D; Gendner, JP; Le Maho, Y</t>
  </si>
  <si>
    <t>Le Bohec, Cine; Durant, Joel M.; Gauthier-Clerc, Michel; Stenseth, Nils C.; Park, Young-Hyang; Pradel, Roger; Gremillet, David; Gendner, Jean-Paul; Le Maho, Yvon</t>
  </si>
  <si>
    <t>King penguin population threatened by Southern Ocean warming</t>
  </si>
  <si>
    <t>TEMPORAL VARIATION; CLIMATE-CHANGE; FLIPPER BANDS; SURVIVAL; DYNAMICS; REPRODUCTION; SEABIRD; OSCILLATION; HYPOTHESES; ADELIE</t>
  </si>
  <si>
    <t>Seabirds are sensitive indicators of changes in marine ecosystems and might integrate and/or amplify the effects of climate forcing on lower levels in food chains. Current knowledge on the impact of climate changes on penguins is primarily based on Antarctic birds identified by using flipper bands. Although flipper bands have helped to answer many questions about penguin biology, they were shown in some penguin species to have a detrimental effect. Here, we present for a Subantarctic species, king penguin (Aptenodytes patagonicus), reliable results on the effect of climate on survival and breeding based on unbanded birds but instead marked by subcutaneous electronic tags. We show that warm events negatively affect both breeding success and adult survival of this seabird. However, the observed effect is complex because it affects penguins at several spatio/temporal levels. Breeding reveals an immediate response to forcing during warm phases of El Nino Southern Oscillation affecting food availability close to the colony. Conversely, adult survival decreases with a remote sea-surface temperature forcing (i.e., a 2-year lag warming taking place at the northern boundary of pack ice, their winter foraging place). We suggest that this time lag may be explained by the delay between the recruitment and abundance of their prey, adjusted to the particular 1-year breeding cycle of the king penguin. The derived population dynamic model suggests a 9% decline in adult survival for a 0.26 degrees C warming. Our findings suggest that king penguin populations are at heavy extinction risk under the current global warming predictions.</t>
  </si>
  <si>
    <t>[Le Bohec, Cine; Gauthier-Clerc, Michel; Gremillet, David; Gendner, Jean-Paul; Le Maho, Yvon] CNRS, Inst Pluridisciplinaire Hubert Curien IPHC, Dept Ecol Physiol &amp; Ethol, Unite Mixte Rech 7178, F-67087 Strasbourg 02, France; [Le Bohec, Cine; Durant, Joel M.; Stenseth, Nils C.] Univ Oslo, Dept Biol, Ctr Ecol &amp; Evolutionary Synth CEES, N-0316 Oslo, Norway; [Gauthier-Clerc, Michel] Ctr Rech Tour Valat, F-13200 Arles, France; [Stenseth, Nils C.] Florida Marine Res Stn, Inst Marine Res, N-4817 His, Norway; [Park, Young-Hyang] Museum Natl Hist Nat, Dept Milieux &amp; Peuplements Aquat, Unite Sci Museum, LOCEAN 0402, F-75231 Paris, France; [Pradel, Roger; Gremillet, David] CNRS, Ctr Ecol Fonct &amp; Evolut, Unite Mixte Rech 5175, F-34293 Montpellier 05, France; [Gremillet, David] Univ Cape Town, Percy Fitzpatrick Inst African Ornithol, Ctr Excellence, Natl Res Fdn,Dept Sci &amp; Technol, ZA-7701 Rondebosch, South Africa</t>
  </si>
  <si>
    <t>Universites de Strasbourg Etablissements Associes; Universite de Strasbourg; Centre National de la Recherche Scientifique (CNRS); University of Oslo; Institute of Marine Research - Norway; Museum National d'Histoire Naturelle (MNHN); Universite PSL; Ecole Pratique des Hautes Etudes (EPHE); Institut Agro; Montpellier SupAgro; CIRAD; Centre National de la Recherche Scientifique (CNRS); Institut de Recherche pour le Developpement (IRD); Universite Paul-Valery; Universite de Montpellier; University of Cape Town; National Research Foundation - South Africa</t>
  </si>
  <si>
    <t>Le Maho, Y (corresponding author), CNRS, Inst Pluridisciplinaire Hubert Curien IPHC, Dept Ecol Physiol &amp; Ethol, Unite Mixte Rech 7178, 23 Rue Becquerel, F-67087 Strasbourg 02, France.</t>
  </si>
  <si>
    <t>yvon.lemaho@c-strasbourg.fr</t>
  </si>
  <si>
    <t>Pradel, Roger/A-8666-2008; Durant, Joel/D-3821-2013; LE BOHEC, CELINE/AAD-3589-2022; Stenseth, Nils Christian/G-5212-2016; Gremillet, David/W-1946-2018</t>
  </si>
  <si>
    <t>Pradel, Roger/0000-0002-2684-9251; Durant, Joel/0000-0002-1129-525X; Stenseth, Nils Christian/0000-0002-1591-5399; Gremillet, David/0000-0002-7711-9398; LE BOHEC, Celine/0000-0003-0149-6477</t>
  </si>
  <si>
    <t>1091-6490</t>
  </si>
  <si>
    <t>10.1073/pnas.0712031105</t>
  </si>
  <si>
    <t>266XB</t>
  </si>
  <si>
    <t>WOS:000253469900045</t>
  </si>
  <si>
    <t>Parkinson, CL; Comiso, JC</t>
  </si>
  <si>
    <t>Parkinson, Claire L.; Comiso, Josefino C.</t>
  </si>
  <si>
    <t>Antarctic sea ice parameters from AMSR-E data using two techniques and comparisons with sea ice from SSM/I</t>
  </si>
  <si>
    <t>WEDDELL SEA; TIME-SERIES; MICROWAVE; TRENDS; WATER; SMMR</t>
  </si>
  <si>
    <t>Antarctic sea ice concentrations and extents, derived from the satellite passive microwave data of the Advanced Microwave Scanning Radiometer for the Earth Observing System (AMSR-E) are close but not identical depending on which of two major algorithms is used in the calculations. Overall, ice extents tend to be higher and ice concentrations lower when determined from the AMSR-E bootstrap algorithm (ABA) than when determined from the enhanced NASA team (NT2) algorithm, although the differences are within the algorithm error bars. Both algorithms obtain similar negative slopes for the lines of linear least squares fit through the short (4.5-year) AMSR-E data record available so far. When the ABA results are compared with results from the bootstrap algorithm applied over the same time period to data from the Special Sensor Microwave Imager (SSM/I), the two bootstrap results, from different satellites and different instruments, match even more closely than the ABA versus NT2 results from the same AMSR-E instrument. This is encouraging and is likely due to considerable effort to minimize the AMSR-E versus SSM/ I bootstrap differences, in consideration of extending the SSM/I record (which goes back to 1987) with the AMSR-E results.</t>
  </si>
  <si>
    <t>[Parkinson, Claire L.; Comiso, Josefino C.] NASA, Goddard Space Flight Ctr, Cryospher Sci Branch, Greenbelt, MD 20771 USA</t>
  </si>
  <si>
    <t>Parkinson, CL (corresponding author), NASA, Goddard Space Flight Ctr, Cryospher Sci Branch, Code 614 1, Greenbelt, MD 20771 USA.</t>
  </si>
  <si>
    <t>claire.l.parkinson@nasa.gov</t>
  </si>
  <si>
    <t>Parkinson, Claire L/E-1747-2012; Parkinson, Claire/JAC-7676-2023</t>
  </si>
  <si>
    <t>Parkinson, Claire L/0000-0001-6730-4197; Parkinson, Claire/0000-0001-6730-4197</t>
  </si>
  <si>
    <t>FEB 16</t>
  </si>
  <si>
    <t>C02S06</t>
  </si>
  <si>
    <t>10.1029/2007JC004253</t>
  </si>
  <si>
    <t>263SD</t>
  </si>
  <si>
    <t>WOS:000253235900001</t>
  </si>
  <si>
    <t>Scherer, RP; Bohaty, SM; Dunbar, RB; Esper, O; Flores, JA; Gersonde, R; Harwood, DM; Roberts, AP; Taviani, M</t>
  </si>
  <si>
    <t>Scherer, R. P.; Bohaty, S. M.; Dunbar, R. B.; Esper, O.; Flores, J. -A.; Gersonde, R.; Harwood, D. M.; Roberts, A. P.; Taviani, M.</t>
  </si>
  <si>
    <t>Antarctic records of precession-paced insolation-driven warming during early Pleistocene Marine Isotope Stage 31</t>
  </si>
  <si>
    <t>B ICE SHELF; SEA-ICE; CLIMATE; ATLANTIC; PENINSULA; AGES</t>
  </si>
  <si>
    <t>Precisely dated Antarctic continental margin and Southern Ocean geological records show that the early Pleistocene interglacial Marine Isotope Stage 31 (MIS-31) was characterized by warmer than present surface waters with reduced sea-ice and enhanced high latitude marine carbonate production. Micropaleontologic, isotopic, and paleomagnetic evidence from drill cores at 77 degrees S ( Cape Roberts Project-1) and 53 degrees S (ODP Site 1094) indicate circumantarctic changes in sea surface temperature and water mass stratification that are in phase with high southern latitude insolation changes during MIS-31. These changes imply a significant, though as yet unquantifiable reduction in Antarctic ice volume. This study supports the hypothesis that the interhemispheric antiphased relationship of the precession cycle attenuates a potentially significant Antarctic ice volume signal in the deep sea oxygen isotope record. The implications are that Antarctic marine ice sheets may be more susceptible to warming and high insolation driven retreat than has been widely recognized.</t>
  </si>
  <si>
    <t>[Scherer, R. P.] No Illinois Univ, Dept Geol &amp; Environm Geosci, De Kalb, IL 60115 USA; [Taviani, M.] Natl Res Ctr, Inst Marine Sci, I-40129 Bologna, Italy; [Harwood, D. M.] Univ Nebraska, Dept Geosci, Lincoln, NE 68588 USA; [Flores, J. -A.] Univ Salamanca, Dept Geol, E-37008 Salamanca, Spain; [Esper, O.; Gersonde, R.] Alfred Wegener Inst Polar &amp; Marine Res, D-27515 Bremerhaven, Germany; [Dunbar, R. B.] Stanford Univ, Sch Earth Sci, Stanford, CA 94305 USA; [Bohaty, S. M.; Roberts, A. P.] Univ Southampton, Natl Oceanog Ctr, Southampton SO14 3ZH, Hants, England</t>
  </si>
  <si>
    <t>Northern Illinois University; Consiglio Nazionale delle Ricerche (CNR); Istituto di Scienze Marine (ISMAR-CNR); University of Nebraska System; University of Nebraska Lincoln; University of Salamanca; Helmholtz Association; Alfred Wegener Institute, Helmholtz Centre for Polar &amp; Marine Research; Stanford University; NERC National Oceanography Centre; University of Southampton</t>
  </si>
  <si>
    <t>Scherer, RP (corresponding author), No Illinois Univ, Dept Geol &amp; Environm Geosci, De Kalb, IL 60115 USA.</t>
  </si>
  <si>
    <t>reed@geol.niu.edu</t>
  </si>
  <si>
    <t>Taviani, Marco/AAF-2168-2020; Roberts, Andrew P/E-6422-2010; Flores, José-Abel/D-4218-2009; CNR, Ismar/P-1247-2014</t>
  </si>
  <si>
    <t>Taviani, Marco/0000-0003-0414-4274; Flores, José-Abel/0000-0003-1909-293X; CNR, Ismar/0000-0001-5351-1486; Esper, Oliver/0000-0002-4342-3471; Roberts, Andrew P./0000-0003-0566-8117; Dunbar, Robert/0000-0002-9728-5609</t>
  </si>
  <si>
    <t>FEB 15</t>
  </si>
  <si>
    <t>L03505</t>
  </si>
  <si>
    <t>10.1029/2007GL032254</t>
  </si>
  <si>
    <t>263QQ</t>
  </si>
  <si>
    <t>WOS:000253232000003</t>
  </si>
  <si>
    <t>Elnitsky, MA; Hayward, SAL; Rinehart, JP; Denlinger, DL; Lee, RE</t>
  </si>
  <si>
    <t>Elnitsky, Michael A.; Hayward, Scott A. L.; Rinehart, Joseph P.; Denlinger, David L.; Lee, Richard E., Jr.</t>
  </si>
  <si>
    <t>Cryoprotective dehydration and the resistance to inoculative freezing in the Antarctic midge, Belgica antarctica</t>
  </si>
  <si>
    <t>chironomidae; cryoprotective dehydration; freeze tolerance; supercooling</t>
  </si>
  <si>
    <t>ONYCHIURUS-ARCTICUS TULLBERG; SUBZERO TEMPERATURES; COLD-HARDINESS; TOLERANCE; CHIRONOMIDAE; MECHANISMS; SURVIVAL; INSECTS; COCOONS; DIPTERA</t>
  </si>
  <si>
    <t>During winter, larvae of the Antarctic midge, Belgica antarctica ( Diptera, Chironomidae), must endure 7-8 months of continuous subzero temperatures, encasement in a matrix of soil and ice, and severely desiccating conditions. This environment, along with the fact that larvae possess a high rate of water loss and are extremely tolerant of desiccation, may promote the use of cryoprotective dehydration as a strategy for winter survival. This study investigates the capacity of larvae to resist inoculative freezing and undergo cryoprotective dehydration at subzero temperatures. Slow cooling to -3 degrees C in an environment at equilibrium with the vapor pressure of ice reduced larval water content by similar to 40% and depressed the body fluid melting point more than threefold to -2.6 degrees C. This melting point depression was the result of the concentration of existing solutes (i.e. loss of body water) and the de novo synthesis of osmolytes. By day 14 of the subzero exposure, larval survival was still &gt;95%, suggesting larvae have the capacity to undergo cryoprotective dehydration. However, under natural conditions the use of cryoprotective dehydration may be constrained by inoculative freezing as result of the insect's intimate contact with environmental ice. During slow cooling within a substrate of frozen soil, the ability of larvae to resist inoculative freezing and undergo cryoprotective dehydration was dependent upon the moisture content of the soil. As detected by a reduction of larval water content, the percentage of larvae that resisted inoculative freezing increased with decreasing soil moisture. These results suggest that larvae of the Antarctic midge have the capacity to resist inoculative freezing at relatively low soil moisture contents and likely undergo cryoprotective dehydration when exposed to subzero temperatures during the polar winter.</t>
  </si>
  <si>
    <t>[Elnitsky, Michael A.; Lee, Richard E., Jr.] Miami Univ, Dept Zool, Oxford, OH 45056 USA; [Hayward, Scott A. L.; Rinehart, Joseph P.; Denlinger, David L.] Ohio State Univ, Dept Entomol, Columbus, OH 43210 USA; [Hayward, Scott A. L.] Univ Liverpool, Sch Biol Sci, Liverpool L69 7ZB, Merseyside, England; [Rinehart, Joseph P.] USDA ARS, Red River Valley Stn, Fargo, ND 58105 USA</t>
  </si>
  <si>
    <t>University System of Ohio; Miami University; University System of Ohio; Ohio State University; University of Liverpool; United States Department of Agriculture (USDA)</t>
  </si>
  <si>
    <t>Elnitsky, MA (corresponding author), Miami Univ, Dept Zool, Oxford, OH 45056 USA.</t>
  </si>
  <si>
    <t>elnitsma@muohio.edu</t>
  </si>
  <si>
    <t>Hayward, Scott/0000-0002-1899-6630</t>
  </si>
  <si>
    <t>10.1242/jeb.011874</t>
  </si>
  <si>
    <t>263CZ</t>
  </si>
  <si>
    <t>WOS:000253196500010</t>
  </si>
  <si>
    <t>Dmitrenko, IA; Kirillov, SA; Tremblay, LB; Bauch, D; Makhotin, M</t>
  </si>
  <si>
    <t>Dmitrenko, Igor A.; Kirillov, Sergey A.; Tremblay, L. B.; Bauch, Dorothea; Makhotin, Mikhail</t>
  </si>
  <si>
    <t>Effects of atmospheric vorticity on the seasonal hydrographic cycle over the eastern Siberian shelf</t>
  </si>
  <si>
    <t>SEA; HALOCLINE</t>
  </si>
  <si>
    <t>The seasonal hydrographic cycle explains about 25-75% of the entire salinity variability spectrum of the Siberian shelf hydrography. Quasi-decadal variations in the seasonal salinity difference over the Laptev and East Siberian sea shelves derived from continuous summer-to-winter historical records from the 1960s-1990s are attributed to atmospheric vorticity quasi-decadal variations. Summer cyclonic vorticity results in riverine water accumulation on the shelf, increasing the salinity summer-to-winter difference. Summer anticyclonic wind pattern enhances fresh water movement from the shelf towards the Arctic Ocean that tends to weaken the seasonal salinity amplitude.</t>
  </si>
  <si>
    <t>[Dmitrenko, Igor A.; Bauch, Dorothea] Univ Kiel, Leibniz Inst Marine Sci, D-24105 Kiel, Germany; [Kirillov, Sergey A.; Makhotin, Mikhail] Arctic &amp; Antarctic Res Inst, St Petersburg 199397, Russia; [Tremblay, L. B.] McGill Univ, Montreal, PQ H2A 2K6, Canada</t>
  </si>
  <si>
    <t>Dmitrenko, IA (corresponding author), Univ Kiel, Leibniz Inst Marine Sci, Wichhofstr 1-3, D-24105 Kiel, Germany.</t>
  </si>
  <si>
    <t>idmitrenko@ifm-geomar.de</t>
  </si>
  <si>
    <t>Tremblay, Bruno/I-4497-2012; Makhotin, Mikhail/K-8861-2016</t>
  </si>
  <si>
    <t>Bauch, Dorothea/0000-0002-1419-9714; Dmitrenko, Igor/0000-0001-8388-7839</t>
  </si>
  <si>
    <t>FEB 14</t>
  </si>
  <si>
    <t>L03619</t>
  </si>
  <si>
    <t>10.1029/2007GL032739</t>
  </si>
  <si>
    <t>263QO</t>
  </si>
  <si>
    <t>WOS:000253231800008</t>
  </si>
  <si>
    <t>Schwarzkopf, MD; Ramaswamy, V</t>
  </si>
  <si>
    <t>Schwarzkopf, M. Daniel; Ramaswamy, V.</t>
  </si>
  <si>
    <t>Evolution of stratospheric temperature in the 20th century</t>
  </si>
  <si>
    <t>WELL-MIXED GASES; DATA SET; OZONE; TRENDS; BALANCE</t>
  </si>
  <si>
    <t>We employ a coupled atmosphere-ocean climate model to investigate the evolution of stratospheric temperatures over the twentieth century, forced by the known anthropogenic and natural forcing agents. In the global, annual-mean lower-to-middle stratosphere (similar to 20-30 km.), simulations produce a sustained, significant cooling by similar to 1920, earlier than in any lower atmospheric region, largely resulting from carbon dioxide increases. After 1979, stratospheric ozone decreases reinforce the cooling. Arctic summer cooling attains significance almost as early as the global, annual-mean response. Antarctic responses become significant in summer after similar to 1940 and in spring after similar to 1990 (below similar to 21 km.). The correspondence of simulated and observed stratospheric temperature trends after similar to 1960 suggests that the model's stratospheric response is reasonably similar to that of the actual climate. We conclude that these model simulations are useful in explaining stratospheric temperature change over the entire 20th century, and potentially provide early indications of the effects of future atmospheric species changes.</t>
  </si>
  <si>
    <t>[Schwarzkopf, M. Daniel; Ramaswamy, V.] NOAA, Geophys Fluid Dynam Lab, Princeton, NJ 08542 USA</t>
  </si>
  <si>
    <t>Schwarzkopf, MD (corresponding author), NOAA, Geophys Fluid Dynam Lab, Box 308, Princeton, NJ 08542 USA.</t>
  </si>
  <si>
    <t>Dan.Schwarzkopf@noaa.gov</t>
  </si>
  <si>
    <t>Ramaswamy, Venkatachalam/AAJ-6265-2021</t>
  </si>
  <si>
    <t>Ramaswamy, Venkatachalam/0000-0002-1984-6423</t>
  </si>
  <si>
    <t>L03705</t>
  </si>
  <si>
    <t>10.1029/2007GL032489</t>
  </si>
  <si>
    <t>WOS:000253231800007</t>
  </si>
  <si>
    <t>Courtland, R</t>
  </si>
  <si>
    <t>Courtland, Rachel</t>
  </si>
  <si>
    <t>Chinese astronomers look to Antarctic</t>
  </si>
  <si>
    <t>10.1038/451752a</t>
  </si>
  <si>
    <t>263BA</t>
  </si>
  <si>
    <t>WOS:000253191400007</t>
  </si>
  <si>
    <t>Ishidoya, S; Sugawara, S; Morimoto, S; Aoki, S; Nakazawa, T</t>
  </si>
  <si>
    <t>Ishidoya, Shigeyuki; Sugawara, Satoshi; Morimoto, Shinji; Aoki, Shuji; Nakazawa, Takakiyo</t>
  </si>
  <si>
    <t>Gravitational separation of major atmospheric components of nitrogen and oxygen in the stratosphere</t>
  </si>
  <si>
    <t>CARBON-DIOXIDE; AIR; TRANSPORT; JAPAN; AGE; MODEL</t>
  </si>
  <si>
    <t>To investigate the gravitational separation of atmospheric components in the stratosphere, air samples collected over Japan, the Arctic and the Antarctic were analyzed for delta(15)N of N(2) and delta(18)O of O(2). The gravitational separation is a function of latitude, showing the largest effect inside the polar vortex over the Arctic. The relationship between the gravitational separation ( calculated using a steady-state 1-dimensional eddy-diffusion/molecular-diffusion model) and the CO(2) age (calculated using a 1-dimensional time dependent eddy-diffusion model) suggests that the observed gravitational separation is fundamentally a result of diffusive separation but modified by meridional circulation of air in the stratosphere. We also obtain a compact relationship between the gravitational separation and the N(2)O concentration. By comparing the gravitational separations at two height intervals with the N(2)O concentrations &gt; 125 ppb and &lt; 45 ppb, the effect of descending air is found to be more significant over the Arctic than over Japan. The variation in the gravitational separation with height is found to be weaker in region with the N(2)O concentrations between 45 and 125 ppb than in other regions. Citation: Ishidoya, S., S. Sugawara, S. Morimoto, S. Aoki, and T. Nakazawa (2008), Gravitational separation of major atmospheric components of nitrogen and oxygen in the stratosphere.</t>
  </si>
  <si>
    <t>[Ishidoya, Shigeyuki; Aoki, Shuji; Nakazawa, Takakiyo] Tohoku Univ, Ctr Atmospher &amp; Ocean Studies, Sendai, Miyagi 9808578, Japan; [Morimoto, Shinji] Natl Inst Polar Res, Tokyo 1738515, Japan; [Sugawara, Satoshi] Miyagi Univ Educ, Inst Earth Sci, Sendai, Miyagi, Japan</t>
  </si>
  <si>
    <t>Tohoku University; Research Organization of Information &amp; Systems (ROIS); National Institute of Polar Research (NIPR) - Japan; Miyagi University Education</t>
  </si>
  <si>
    <t>Ishidoya, S (corresponding author), Tohoku Univ, Ctr Atmospher &amp; Ocean Studies, Sendai, Miyagi 9808578, Japan.</t>
  </si>
  <si>
    <t>ishidoya@caos-a.geophys.tohoku.ac.jp</t>
  </si>
  <si>
    <t>Morimoto, Shinji/GQR-1817-2022; Ishidoya, Shigeyuki/L-4307-2018</t>
  </si>
  <si>
    <t>Ishidoya, Shigeyuki/0000-0001-7448-2899</t>
  </si>
  <si>
    <t>FEB 13</t>
  </si>
  <si>
    <t>L03811</t>
  </si>
  <si>
    <t>10.1029/2007GL030456</t>
  </si>
  <si>
    <t>263QM</t>
  </si>
  <si>
    <t>WOS:000253231600001</t>
  </si>
  <si>
    <t>Lu, P; Li, ZJ; Zhang, ZH; Dong, XL</t>
  </si>
  <si>
    <t>Lu, P.; Li, Z. J.; Zhang, Z. H.; Dong, X. L.</t>
  </si>
  <si>
    <t>Aerial observations of floe size distribution in the marginal ice zone of summer Prydz Bay</t>
  </si>
  <si>
    <t>OCEAN WAVES; SEA; FRACTURE; FRAGMENTATION; ATTENUATION</t>
  </si>
  <si>
    <t>On the basis of aerial photographs of sea ice floes in the marginal ice zone (MIZ) of Prydz Bay acquired from December 2004 to February 2005 during the 21st Chinese National Antarctic Research Expedition, image processing techniques are employed to extract some geometric parameters of floes from two merged transects covering the whole MIZ. Variations of these parameters with the distance into the MIZ are then obtained. Different parameters of floe size, namely area, perimeter, and mean caliper diameter (MCD), follow three similar stages of increasing, flat and increasing again, with distance from the open ocean. Floe shape parameters ( roundness and the ratio of perimeter to MCD), however, have less significant variations than that of floe size. Then, to modify the deviation of the cumulative floe size distribution from the ideal power law, an upper truncated power-law function and a Weibull function are used, and four calculated parameters of the above functions are found to be important descriptors of the evolution of floe size distribution in the MIZ. Among them, L-r of the upper truncated power-law function indicates the upper limit of floe size and roughly equals the maximum floe size in each square sample area. L-0 in the Weibull distribution shows an increasing proportion of larger floes in squares farther from the open ocean and roughly equals the mean floe size. D in the upper truncated power-law function is closely associated with the degree of confinement during ice breakup. Its decrease with the distance into MIZ indicates the weakening of confinement conditions on floes owing to wave attenuation. The g of the Weibull distribution characterizes the degree of homogeneity in a data set. It also decreases with distance into MIZ, implying that floe size distributes increase in range. Finally, a statistical test on floe size is performed to divide the whole MIZ into three distinct zones made up of floes of quite different characteristics. This zonal structure of floe size also agrees well with the trends of floe shape and floe size distribution, and is believed to be a straightforward result of wave-ice interaction in the MIZ.</t>
  </si>
  <si>
    <t>[Lu, P.; Li, Z. J.; Dong, X. L.] Dalian Univ Technol, State Key Lab Coastal &amp; Offshore Engn, Sch Elect &amp; Informat Engn, Dalian, Peoples R China; [Zhang, Z. H.] Polar Res Inst China, Shanghai, Peoples R China</t>
  </si>
  <si>
    <t>Dalian University of Technology; Polar Research Institute of China</t>
  </si>
  <si>
    <t>Lu, P (corresponding author), Dalian Univ Technol, State Key Lab Coastal &amp; Offshore Engn, Sch Elect &amp; Informat Engn, Dalian, Peoples R China.</t>
  </si>
  <si>
    <t>Lu, Peng/HNR-4786-2023</t>
  </si>
  <si>
    <t>C02011</t>
  </si>
  <si>
    <t>10.1029/2006JC003965</t>
  </si>
  <si>
    <t>263RZ</t>
  </si>
  <si>
    <t>WOS:000253235500002</t>
  </si>
  <si>
    <t>Maksym, T; Markus, T</t>
  </si>
  <si>
    <t>Maksym, Ted; Markus, Thorsten</t>
  </si>
  <si>
    <t>Antarctic sea ice thickness and snow-to-ice conversion from atmospheric reanalysis and passive microwave snow depth</t>
  </si>
  <si>
    <t>SURFACE MASS-BALANCE; SOUTHERN-OCEAN; WEDDELL-SEA; TEMPORAL VARIABILITY; AMUNDSEN SEAS; LATE WINTER; PACK ICE; COVER; BELLINGSHAUSEN; ROSS</t>
  </si>
  <si>
    <t>Passive microwave snow depth, ice concentration, and ice motion estimates are combined with snowfall from the European Centre for Medium-Range Weather Forecasting (ECMWF) reanalysis (ERA-40) from 1979-2001 to estimate the prevalence of snow-to-ice conversion (snow-ice formation) on level sea ice in the Antarctic for April-October. Snow ice is ubiquitous in all regions throughout the growth season. Calculated snow-ice thicknesses fall within the range of estimates from ice core analysis for most regions. However, uncertainties in both this analysis and in situ data limit the usefulness of snow depth and snow-ice production to evaluate the accuracy of ERA-40 snowfall. The East Antarctic is an exception, where calculated snow-ice production exceeds observed ice thickness over wide areas, suggesting that ERA-40 precipitation is too high there. Snow-ice thickness variability is strongly controlled not just by snow accumulation rates, but also by ice divergence. Surprisingly, snow-ice production is largely independent of snow depth, indicating that the latter may be a poor indicator of total snow accumulation. Using the presence of snow-ice formation as a proxy indicator for near-zero freeboard, we examine the possibility of estimating level ice thickness from satellite snow depths. A best estimate for the mean level ice thickness in September is 53 cm, comparing well with 51 cm from ship-based observations. The error is estimated to be 10-20 cm, which is similar to the observed interannual and regional variability. Nevertheless, this is comparable to expected errors for ice thickness determined by satellite altimeters. Improvement in satellite snow depth retrievals would benefit both of these methods.</t>
  </si>
  <si>
    <t>[Maksym, Ted] British Antarctic Survey, Cambridge CB3 0ET, England; [Markus, Thorsten] NASA Goddard Space Flight Ctr, Greenbelt, MD USA</t>
  </si>
  <si>
    <t>UK Research &amp; Innovation (UKRI); Natural Environment Research Council (NERC); NERC British Antarctic Survey; National Aeronautics &amp; Space Administration (NASA); NASA Goddard Space Flight Center</t>
  </si>
  <si>
    <t>Maksym, T (corresponding author), British Antarctic Survey, Cambridge CB3 0ET, England.</t>
  </si>
  <si>
    <t>Markus, Thorsten/D-5365-2012</t>
  </si>
  <si>
    <t>C02S12</t>
  </si>
  <si>
    <t>10.1029/2006JC004085</t>
  </si>
  <si>
    <t>WOS:000253235500003</t>
  </si>
  <si>
    <t>Eyles, N</t>
  </si>
  <si>
    <t>Eyles, Nick</t>
  </si>
  <si>
    <t>Glacio-epochs and the supercontinent cycle after ∼3.0 Ga:: Tectonic boundary conditions for glaciation</t>
  </si>
  <si>
    <t>Earth's glacial record; Archean; proterozoic and phanerozoic glacio-epochs; rifting; tectonically created topography</t>
  </si>
  <si>
    <t>NEOPROTEROZOIC SNOWBALL EARTH; LOW-LATITUDE GLACIATION; PORT-ASKAIG FORMATION; CONTINENTAL BREAK-UP; LATE CENOZOIC UPLIFT; CONODONT COMMUNITY ANALYSIS; PROTEROZOIC CAP CARBONATES; LATE ORDOVICIAN GLACIATION; EARLY SILURIAN GLACIATION; SR-ISOTOPIC EVIDENCE</t>
  </si>
  <si>
    <t>Tectonic influences on long-term climate change are of considerable current interest and debate. This paper reviews the relationship between multi-million year periods of glaciation (glacio-epochs) over the last 3 Ga of Earth history and phases of supercontinent breakup and assembly. A preferred but not exclusive relationship is evident between glacio-epochs and their mostly glacially influenced marine record, with rifting. The earliest known glaciation (mid Archean similar to 2.9 Ga) is recorded in the marine Mozaan Group of South Africa deposited along the passive margin of the Kapvaal Craton then part of the early continent Ur. The Paleoproterozoic glacio-epoch, exemplified by the Huronian Supergroup of Ontario, Canada (similar to 2.4 Ga) and strata in northern Europe and the U.S., is associated with rifting of Kenorland. A long Paleo-Mesoproterozoic non-glacial interval (c. 2.3 Ga to 750 Ma?) coincides with continental collisions and high standing Himalayan-scale orogenic belts marking the suturing of supercontinents Nena-Columbia and Rodinia. A near absence of glacial deposits other than at 1.8 Ga, may reflect lack of preservation. The extensive and prolonged Neoproterozoic glacio-epoch records either diachronous glaciations or discrete pulses of cooling between similar to 750 and similar to 580 Ma, and is overwhelmingly recorded by substantial thicknesses (1 km+) of glacially influenced marine strata stored in rift basins. These formed on the mid to low latitude (&lt;30 degrees) oceanic margins of western (Panthalassa: Australia, China, Western North America) and eastern (Iapetus: Northwest Europe) margins of a disintegrating Rodinia. The youngest glacially influenced deposits formed about 580 Ma along the compressional Cadomian Belt exterior to Rodinia (Gaskiers Formation) possibly correlative with the classic passive margin Marinoan deposits of South Australia. A short-lived (I to 15 Ma?) Early Palcozoic ice sheet about 440 Ma grew over highlands on the polar North Africa margin of Gondwana possibly likely triggered by uplift at high paleolatitudes as large terranes (e.g., Meguma, Avalonia) rifted away from North Africa. Incised valleys, coarse glacial fills and thick (I kin +) 'postglacial' shales suggest a continuing tectonic influence. Devonian cooling across the Frasnian-Famennian boundary (c. 376 Ma) is recorded by local ice covers in Brazil and Bolivia and is linked to elevated topography and enhanced erosion of continental crust. The Late Paleozoic glacio-epoch (similar to 350 and 250 Ma) coincides with a high paleolatitude positioning of Gondwana and the growth of high standing topography when Gondwana collided with Laurasia to create Pangea. Breakup after 180 Ma moved landmasses into higher northerly latitudes and was the backdrop to global cooling of the Cenozoic glacio-epoch that commenced after the Paleocene-Eocene Thermal Maximum (&lt;55 Ma). Earliest Antarctic ice at similar to 40 Ma most likely nucleated on the high shoulders of the Transantarctic Rift coeval with opening of Drake Passage, and coincides with the earliest ice rafting in the Arctic Basin at 43 Ma, followed by another pulse at 34 Ma. Accelerated glacierization in both hemispheres occurred at similar to 14 Ma during the middle Miocene Transition but Milankovitch-forced continental-scale ice sheets did not nucleate in the northern hemisphere until after 3.5 Ma on uplifted borderlands along North Atlantic passive margins. A preferred association of the deposits of Proterozoic and Phanerozoic glacio-epochs with rift basins reflects either a causal link between rift-related uplift and regional cooling, or simply enhanced preservation of glacial sediments. Glacial deposits are poorly preserved in areas of compressional tectonics. (c) 2007 Elsevier B.V. All rights reserved.</t>
  </si>
  <si>
    <t>Univ Toronto, Dept Geol, Scarborough, ON M1C 1A4, Canada</t>
  </si>
  <si>
    <t>University of Toronto; University Toronto Scarborough</t>
  </si>
  <si>
    <t>Eyles, N (corresponding author), Univ Toronto, Dept Geol, 1265 Mil Trail, Scarborough, ON M1C 1A4, Canada.</t>
  </si>
  <si>
    <t>eyles@utsc.utoronto.ca</t>
  </si>
  <si>
    <t>10.1016/j.palaeo.2007.09.021</t>
  </si>
  <si>
    <t>276NL</t>
  </si>
  <si>
    <t>WOS:000254149000005</t>
  </si>
  <si>
    <t>Larner, BL; Palmer, AS; Seen, AJ; Townsend, AT</t>
  </si>
  <si>
    <t>Larner, Bronwyn L.; Palmer, Anne S.; Seen, Andrew J.; Townsend, Ashley T.</t>
  </si>
  <si>
    <t>A comparison of an optimised sequential extraction procedure and dilute acid leaching of elements in anoxic sediments, including the effects of oxidation on sediment metal partitioning</t>
  </si>
  <si>
    <t>ANALYTICA CHIMICA ACTA</t>
  </si>
  <si>
    <t>sequential extraction; Community Bureau of Reference of the European Commission; partial extraction; dilute HCl; anoxic sediment; acid volatile sulfide</t>
  </si>
  <si>
    <t>HEAVY-METALS; TRACE-ELEMENTS; SAMPLE PRETREATMENT; VOLATILE SULFIDE; SPECIATION; ESTUARINE; PATTERNS; BCR; ZN; CU</t>
  </si>
  <si>
    <t>The effect of oxidation of anoxic sediment upon the extraction of 13 elements (Cd, Sn, Sb, Pb, Al, Cr, Mn, Fe, Co, Ni, Cu, Zn, As) using the optimised Community Bureau of Reference of the European Commission (BCR) sequential extraction procedure and a dilute acid partial extraction procedure (4 h, 1 mol L-1 HCl) was investigated. Elements commonly associated with the sulfidic phase, Cd, Cu, Pb, Zn and Fe exhibited the most significant changes under the BCR sequential extraction procedure. Cd, Cu, Zn, and to a lesser extent Pb, were redistributed into the weak acid extractable fraction upon oxidation of the anoxic sediment and Fe was redistributed into the reducible fraction as expected, but an increase was also observed in the residual Fe. For the HCl partial extraction, sediments with moderate acid volatile sulfide (AVS) levels (1-100 mu mol g(-1)) showed no significant difference in element partitioning following oxidation, whilst sediments containing high AVS levels (&gt; 100 mu mol g(-1)) were significantly different with elevated concentrations of Cu and Sn noted in the partial extract following oxidation of the sediment. Comparison of the labile metals released using the BCR sequential extraction procedure (Sigma Steps 1-3) to labile metals extracted using the dilute HCl partial extraction showed that no method was consistently more aggressive than the other, with the HCl partial extraction extracting more Sn and Sb from the anoxic sediment than the BCR procedure, whilst the BCR procedure extracted more Cr, Co, Cu and As than the HCl extraction. (c) 2008 Published by Elsevier B.V.</t>
  </si>
  <si>
    <t>[Larner, Bronwyn L.; Seen, Andrew J.] Univ Tasmania, Sch Chem, Launceston, Tasmania 7250, Australia; [Palmer, Anne S.] Univ Tasmania, ACROSS, Sch Chem, Hobart, Tas 7001, Australia; [Palmer, Anne S.] Australian Antarctic Div, Dept Environm &amp; Water Resources, Kingston, Tas 7050, Australia; [Townsend, Ashley T.] Univ Tasmania, Cent Sci Lab, Hobart, Tas 7001, Australia</t>
  </si>
  <si>
    <t>University of Tasmania; University of Tasmania; Australian Antarctic Division; University of Tasmania</t>
  </si>
  <si>
    <t>Seen, AJ (corresponding author), Univ Tasmania, Sch Chem, Locked Bag 1371, Launceston, Tasmania 7250, Australia.</t>
  </si>
  <si>
    <t>A.J.Seen@utas.edu.au</t>
  </si>
  <si>
    <t>Townsend, Ashley/J-7445-2014</t>
  </si>
  <si>
    <t>Townsend, Ashley/0000-0002-2972-2678; Seen, Andrew/0000-0001-7788-579X</t>
  </si>
  <si>
    <t>0003-2670</t>
  </si>
  <si>
    <t>1873-4324</t>
  </si>
  <si>
    <t>ANAL CHIM ACTA</t>
  </si>
  <si>
    <t>Anal. Chim. Acta</t>
  </si>
  <si>
    <t>FEB 11</t>
  </si>
  <si>
    <t>10.1016/j.aca.2007.12.016</t>
  </si>
  <si>
    <t>263VE</t>
  </si>
  <si>
    <t>WOS:000253243800003</t>
  </si>
  <si>
    <t>Achterberg, A; Ackermann, M; Adams, J; Ahrens, J; Andeen, K; Auffenberg, J; Bahcall, JN; Bai, X; Baret, B; Barwick, SW; Bay, R; Beattie, K; Becka, T; Becker, JK; Becker, KH; Berghaus, P; Berley, D; Bernardini, E; Bertrand, D; Besson, DZ; Blaufuss, E; Boersma, DJ; Bohm, C; Bolmont, J; Böser, S; Botner, O; Bouchta, A; Braun, J; Burgess, C; Burgess, T; Castermans, T; Chirkin, D; Christy, B; Clem, J; Cowen, DF; D'Agostino, MV; Davour, A; Day, CT; De Clercq, C; Demiröres, L; Descamps, F; Desiati, P; DeYoung, T; Diaz-Velez, JC; Dreyer, J; Dumm, JP; Duvoort, MR; Edwards, WR; Ehrlich, R; Eisch, J; Ellsworth, RW; Evenson, PA; Fadiran, O; Fazely, AR; Filimonov, K; Foerster, MM; Fox, BD; Franckowiak, A; Gaisser, TK; Gallagher, J; Ganugapati, R; Geenen, H; Gerhardt, L; Goldschmidt, A; Goodman, JA; Gozzini, R; Griesel, T; Gross, A; Grullon, S; Gunasingha, RM; Gurtner, M; Hallgren, A; Halzen, F; Han, K; Hanson, K; Hardtke, D; Hardtke, R; Hart, JE; Hasegawa, Y; Hauschildt, T; Hays, D; Heise, J; Helbing, K; Hellwig, M; Herquet, P; Hill, GC; Hodges, J; Hoffman, KD; Hommez, B; Hoshina, K; Hubert, D; Hughey, B; Hulth, PO; Hüss, JP; Hultqvist, K; Hundertmark, S; Inaba, M; Ishihara, A; Jacobsen, J; Japaridze, GS; Johansson, H; Jones, A; Joseph, JM; Kampert, KH; Kappes, A; Karg, T; Karle, A; Kawai, H; Kelley, JL; Kitamura, N; Klein, SR; Klepser, S; Kohnen, G; Kolanoski, H; Pke, LK; Kowalski, M; Kowarik, T; Krasberg, M; Kuehn, K; Labare, M; Landsman, H; Leich, H; Leier, D; Liubarsky, I; Lundberg, J; Lünemann, J; Madsen, J; Mase, K; Matis, HS; McCauley, T; McParland, CP; Meli, A; Messarius, T; Mészáros, P; Miyamoto, H; Mokhtarani, A; Montaruli, T; Morey, A; Morse, R; Movit, SM; Münich, K; Nahnhauer, R; Nam, JW; Niessen, P; Nygren, DR; Ögelman, H; Olivas, A; Patton, S; Peña-Garay, C; Heros, CPL; Piegsa, A; Pieloth, D; Pohl, AC; Porrata, R; Pretz, J; Price, PB; Przybylski, GT; Rawlins, K; Razzaque, S; Resconi, E; Rhode, W; Ribordy, M; Rizzo, A; Robbins, S; Roth, P; Rott, C; Rutledge, D; Ryckbosch, D; Sander, HG; Sarkar, S; Schlenstedt, S; Schmidt, T; Schneider, D; Seckel, D; Semburg, B; Seo, SH; Seunarine, S; Silvestri, A; Smith, AJ; Solarz, M; Song, C; Sopher, JE; Spiczak, GM; Spiering, C; Stamatikos, M; Stanev, T; Steffen, P; Stezelberger, T; Stokstad, RG; Stoufer, MC; Stoyanov, S; Strahler, EA; Straszheim, T; Sulanke, KH; Sullivan, GW; Sumner, TJ; Taboada, I; Tarasova, O; Tepe, A; Thollander, L; Tilav, S; Tluczykont, M; Toale, PA; Turcan, D; Van Eijndhoven, N; Vandenbroucke, J; Van Overloop, A; Viscomi, V; Voigt, B; Wagner, W; Walck, C; Waldmann, H; Walter, M; Wang, YR; Wendt, C; Wiebusch, CH; Wikström, G; Williams, DR; Wischnewski, R; Wissing, H; Woschnagg, K; Xu, XW; Yodh, G; Yoshida, S; Zornoza, JD; Boer, M; Cline, T; Crew, G; Feroci, M; Frontera, F; Hurley, K; Lamb, D; Rau, A; Rossi, F; Ricker, G; Von Kienlin, A</t>
  </si>
  <si>
    <t>Achterberg, A.; Ackermann, M.; Adams, J.; Ahrens, J.; Andeen, K.; Auffenberg, J.; Bahcall, J. N.; Bai, X.; Baret, B.; Barwick, S. W.; Bay, R.; Beattie, K.; Becka, T.; Becker, J. K.; Becker, K. -H.; Berghaus, P.; Berley, D.; Bernardini, E.; Bertrand, D.; Besson, D. Z.; Blaufuss, E.; Boersma, D. J.; Bohm, C.; Bolmont, J.; Boeser, S.; Botner, O.; Bouchta, A.; Braun, J.; Burgess, C.; Burgess, T.; Castermans, T.; Chirkin, D.; Christy, B.; Clem, J.; Cowen, D. F.; D'Agostino, M. V.; Davour, A.; Day, C. T.; De Clercq, C.; Demiroeres, L.; Descamps, F.; Desiati, P.; DeYoung, T.; Diaz-Velez, J. C.; Dreyer, J.; Dumm, J. P.; Duvoort, M. R.; Edwards, W. R.; Ehrlich, R.; Eisch, J.; Ellsworth, R. W.; Evenson, P. A.; Fadiran, O.; Fazely, A. R.; Filimonov, K.; Foerster, M. M.; Fox, B. D.; Franckowiak, A.; Gaisser, T. K.; Gallagher, J.; Ganugapati, R.; Geenen, H.; Gerhardt, L.; Goldschmidt, A.; Goodman, J. A.; Gozzini, R.; Griesel, T.; Gross, A.; Grullon, S.; Gunasingha, R. M.; Gurtner, M.; Hallgren, A.; Halzen, F.; Han, K.; Hanson, K.; Hardtke, D.; Hardtke, R.; Hart, J. E.; Hasegawa, Y.; Hauschildt, T.; Hays, D.; Heise, J.; Helbing, K.; Hellwig, M.; Herquet, P.; Hill, G. C.; Hodges, J.; Hoffman, K. D.; Hommez, B.; Hoshina, K.; Hubert, D.; Hughey, B.; Hulth, P. O.; Huess, J. -P.; Hultqvist, K.; Hundertmark, S.; Inaba, M.; Ishihara, A.; Jacobsen, J.; Japaridze, G. S.; Johansson, H.; Jones, A.; Joseph, J. M.; Kampert, K. -H.; Kappes, A.; Karg, T.; Karle, A.; Kawai, H.; Kelley, J. L.; Kitamura, N.; Klein, S. R.; Klepser, S.; Kohnen, G.; Kolanoski, H.; Pke, L. Ko; Kowalski, M.; Kowarik, T.; Krasberg, M.; Kuehn, K.; Labare, M.; Landsman, H.; Leich, H.; Leier, D.; Liubarsky, I.; Lundberg, J.; Luenemann, J.; Madsen, J.; Mase, K.; Matis, H. S.; McCauley, T.; McParland, C. P.; Meli, A.; Messarius, T.; Meszaros, P.; Miyamoto, H.; Mokhtarani, A.; Montaruli, T.; Morey, A.; Morse, R.; Movit, S. M.; Muenich, K.; Nahnhauer, R.; Nam, J. W.; Niessen, P.; Nygren, D. R.; Oegelman, H.; Olivas, A.; Patton, S.; Pena-Garay, C.; De Los Heros, C. Perez; Piegsa, A.; Pieloth, D.; Pohl, A. C.; Porrata, R.; Pretz, J.; Price, P. B.; Przybylski, G. T.; Rawlins, K.; Razzaque, S.; Resconi, E.; Rhode, W.; Ribordy, M.; Rizzo, A.; Robbins, S.; Roth, P.; Rott, C.; Rutledge, D.; Ryckbosch, D.; Sander, H. -G.; Sarkar, S.; Schlenstedt, S.; Schmidt, T.; Schneider, D.; Seckel, D.; Semburg, B.; Seo, S. H.; Seunarine, S.; Silvestri, A.; Smith, A. J.; Solarz, M.; Song, C.; Sopher, J. E.; Spiczak, G. M.; Spiering, C.; Stamatikos, M.; Stanev, T.; Steffen, P.; Stezelberger, T.; Stokstad, R. G.; Stoufer, M. C.; Stoyanov, S.; Strahler, E. A.; Straszheim, T.; Sulanke, K. -H.; Sullivan, G. W.; Sumner, T. J.; Taboada, I.; Tarasova, O.; Tepe, A.; Thollander, L.; Tilav, S.; Tluczykont, M.; Toale, P. A.; Turcan, D.; Van Eijndhoven, N.; Vandenbroucke, J.; Van Overloop, A.; Viscomi, V.; Voigt, B.; Wagner, W.; Walck, C.; Waldmann, H.; Walter, M.; Wang, Y. -R.; Wendt, C.; Wiebusch, C. H.; Wikstroem, G.; Williams, D. R.; Wischnewski, R.; Wissing, H.; Woschnagg, K.; Xu, X. W.; Yodh, G.; Yoshida, S.; Zornoza, J. D.; Boer, M.; Cline, T.; Crew, G.; Feroci, M.; Frontera, F.; Hurley, K.; Lamb, D.; Rau, A.; Rossi, F.; Ricker, G.; Von Kienlin, A.</t>
  </si>
  <si>
    <t>The search for muon neutrinos from northern hemisphere gamma-ray bursts with amanda</t>
  </si>
  <si>
    <t>ASTROPHYSICAL JOURNAL</t>
  </si>
  <si>
    <t>gamma rays : bursts; neutrinos</t>
  </si>
  <si>
    <t>HIGH-ENERGY NEUTRINOS; SUPERNOVAE; DETECTORS; SELECTION; EMISSION; PARADIGM; BATSE</t>
  </si>
  <si>
    <t>We present the results of the analysis of neutrino observations by the Antarctic Muon and Neutrino Detector Array (AMANDA) correlated with photon observations of more than 400 gamma-ray bursts (GRBs) in the northern hemisphere from 1997 to 2003. During this time period, AMANDA's effective collection area for muon neutrinos was larger than that of any other existing detector. After the application of various selection criteria to our data, we expect similar to 1 neutrino event and &lt;2 background events. Based on our observations of zero events during and immediately prior to the GRBs in the data set, we set the most stringent upper limit on muon neutrino emission correlated with GRBs. Assuming a Waxman-Bahcall spectrum and incorporating all systematic uncertainties, our flux upper limit has a normalization at 1 PeV of E-2 Phi(nu) &lt;= 6.3 x 10(-9) GeV cm(-2) s(-1) sr(-1), with 90% of the events expected within the energy range of similar to 10 TeV to similar to 3 PeV. The impact of this limit on several theoretical models of GRBs is discussed, as well as the future potential for detection of GRBs by next-generation neutrino telescopes. Finally, we briefly describe several modifications to this analysis in order to apply it to other types of transient point sources.</t>
  </si>
  <si>
    <t>[Achterberg, A.; Duvoort, M. R.; Heise, J.; Van Eijndhoven, N.] Univ Utrecht, Dept Phys &amp; Astron, NL-3584 CC Utrecht, Netherlands; [Ackermann, M.; Bernardini, E.; Bolmont, J.; Boeser, S.; Klepser, S.; Leich, H.; Nahnhauer, R.; Pieloth, D.; Schlenstedt, S.; Steffen, P.; Sulanke, K. -H.; Tarasova, O.; Tluczykont, M.; Voigt, B.; Waldmann, H.; Walter, M.; Wischnewski, R.] Deutsches Elektron Synchrotron, D-15735 Zeuthen, Germany; [Adams, J.; Han, K.; Spiering, C.] Univ Canterbury, Dept Phys &amp; Astron, Christchurch 1, New Zealand; [Ahrens, J.; Becka, T.; Gozzini, R.; Griesel, T.; Hellwig, M.; Pke, L. Ko; Kowarik, T.; Piegsa, A.] Johannes Gutenberg Univ Mainz, Inst Phys, D-55099 Mainz, Germany; [Andeen, K.; Boersma, D. J.; Braun, J.; Desiati, P.; Diaz-Velez, J. C.; Dumm, J. P.; Ganugapati, R.; Grullon, S.; Halzen, F.; Hanson, K.; Hill, G. C.; Hodges, J.; Hoshina, K.; Hughey, B.; Ishihara, A.; Kappes, A.; Karle, A.; Kelley, J. L.; Kitamura, N.; Krasberg, M.; Landsman, H.; Morse, R.; Oegelman, H.; Schneider, D.; Stamatikos, M.; Strahler, E. A.; Wang, Y. -R.; Wendt, C.; Zornoza, J. D.] Univ Wisconsin, Dept Phys, Madison, WI 53706 USA; [Auffenberg, J.; Becker, K. -H.; Franckowiak, A.; Geenen, H.; Gurtner, M.; Helbing, K.; Kampert, K. -H.; Karg, T.; Robbins, S.; Semburg, B.; Taboada, I.; Tepe, A.; Vandenbroucke, J.] Univ Wuppertal, Dept Phys, D-42119 Wuppertal, Germany; [Bai, X.] Univ Delaware, Bartol Res Inst, Newark, DE 19716 USA; [Baret, B.; De Clercq, C.; Hubert, D.; Labare, M.; Rizzo, A.] Vrije Univ Brussel, Dienst ELEM, B-1050 Brussels, Belgium; [Barwick, S. W.; Gerhardt, L.; Kuehn, K.; Nam, J. W.] Univ Calif Irvine, Dept Phys &amp; Astron, Irvine, CA 92697 USA; [Bay, R.; Filimonov, K.; Hardtke, D.; Morey, A.; Porrata, R.; Price, P. B.] Univ Calif Berkeley, Dept Phys, Berkeley, CA 94720 USA; [Beattie, K.; Becker, J. K.; Dreyer, J.; Luenemann, J.; Meli, A.; Messarius, T.; Muenich, K.; Rhode, W.; Wagner, W.] Univ Dortmund, Dept Phys, D-44221 Dortmund, Germany; [Bertrand, D.] Univ Libre Bruxelles, Fac Sci, B-1050 Brussels, Belgium; [Berley, D.; Blaufuss, E.; Ehrlich, R.; Goodman, J. A.; Hoffman, K. D.; Olivas, A.; Pretz, J.; Roth, P.; Schmidt, T.; Smith, A. J.; Straszheim, T.; Sullivan, G. W.; Turcan, D.] Univ Maryland, Dept Phys, College Pk, MD 20742 USA; [Besson, D. Z.] Univ Kansas, Dept Phys &amp; Astron, Lawrence, KS 66045 USA; [Bohm, C.; Burgess, C.; Burgess, T.; Hulth, P. O.; Hultqvist, K.; Hundertmark, S.; Johansson, H.; Thollander, L.; Walck, C.; Wikstroem, G.] Univ Stockholm, Dept Phys, SE-10691 Stockholm, Sweden; [Botner, O.; Bouchta, A.; Davour, A.; Hallgren, A.; Lundberg, J.; De Los Heros, C. Perez; Pohl, A. C.] Uppsala Univ, Div High Energy Phys, S-75121 Uppsala, Sweden; [Cowen, D. F.; Fox, B. D.; Hart, J. E.; Meszaros, P.; Rutledge, D.; Seo, S. H.; Toale, P. A.; Viscomi, V.; Williams, D. R.] Univ Mons, B-7000 Mons, Belgium; [Hommez, B.; Ryckbosch, D.; Van Overloop, A.] Univ Ghent, Dept Subatom &amp; Radiat Phys, B-9000 Ghent, Belgium; [Eisch, J.; Hardtke, D.; Madsen, J.; Spiczak, G. M.] Univ Wisconsin, Dept Phys, River Falls, WI 54022 USA; [Fadiran, O.] Clark Atlanta Univ, CTSPS, Atlanta, GA 30314 USA; [Fazely, A. R.; Gunasingha, R. M.; Xu, X. W.] So Univ, Dept Phys, Baton Rouge, LA 70813 USA; [Gallagher, J.] Univ Wisconsin, Dept Astron, Madison, WI 53706 USA; [Resconi, E.] Max Planck Inst Kernphys, D-69177 Heidelberg, Germany; [Hasegawa, Y.; Inaba, M.; Kawai, H.; Mase, K.; Miyamoto, H.; Yoshida, S.] Chiba Univ, Dept Phys, Chiba 2638522, Japan; [Huess, J. -P.; Wiebusch, C. H.; Wissing, H.] Rhein Westfal TH Aachen, Inst Phys 3, D-52074 Aachen, Germany; [Kolanoski, H.; Kowalski, M.] Humboldt Univ, Inst Phys, D-12489 Berlin, Germany; [Liubarsky, I.; Sumner, T. J.] Univ London Imperial Coll Sci Technol &amp; Med, Blackett Lab, London SW7 2BW, England; [Pohl, A. C.] Kalmar Univ, Dept Chem &amp; Biomed Sci, S-39182 Kalmar, Sweden; [Sarkar, S.] Univ Oxford, Dept Phys, Oxford OX1 3NP, England; [Zornoza, J. D.] Univ Valencia, CSIC, IFIC, Valencia 46071, Spain; [Boer, M.] Observ Haute Provence, St Michel Observ, F-04870 St Michel, France; [Crew, G.; Ricker, G.] MIT, Kavli Inst Astrophys &amp; Space Res, Cambridge, MA 02139 USA; [Feroci, M.] CNR, Area Ric Roma Tor Vergata, Inst Nazl Astrofis, Inst Astrofis Spaziale &amp; Fis Cosmica, I-00133 Rome, Italy; [Lamb, D.] Univ Chicago, Dept Astron &amp; Astrophys, Chicago, IL 60637 USA; [Rau, A.] CALTECH, Caltech Opt Observ, Pasadena, CA 91125 USA; [Von Kienlin, A.] Max Planck Inst Extraterr Phys, D-85748 Garching, Germany; [Frontera, F.; Rossi, F.] Univ Ferrara, Dept Phys, I-44100 Ferrara, Italy; [Stamatikos, M.; Cline, T.] NASA, Goddard Space Flight Ctr, Greenbelt, MD 20771 USA; [Beattie, K.; Goldschmidt, A.; Hays, D.; Jacobsen, J.; Jones, A.; Joseph, J. M.; Klein, S. R.; Matis, H. S.; McParland, C. P.; Nygren, D. R.; Patton, S.; Przybylski, G. T.; Stezelberger, T.; Stokstad, R. G.; Stoufer, M. C.] Lawrence Berkeley Natl Lab, Berkeley, CA 94720 USA; [Rawlins, K.] Univ Alaska Anchorage, Dept Phys &amp; Astron, Anchorage, AK 99508 USA; [Cowen, D. F.; Meszaros, P.; Movit, S. M.; Razzaque, S.] Penn State Univ, Dept Astron &amp; Astrophys, University Pk, PA 16802 USA; [Foerster, M. M.; Fox, B. D.; Hart, J. E.; Seo, S. H.; Viscomi, V.] Penn State Univ, Dept Phys, University Pk, PA 16802 USA; [Bahcall, J. N.] Inst Adv Study, Princeton, NJ 08540 USA</t>
  </si>
  <si>
    <t>Utrecht University; Helmholtz Association; Deutsches Elektronen-Synchrotron (DESY); University of Canterbury; Johannes Gutenberg University of Mainz; University of Wisconsin System; University of Wisconsin Madison; University of Wuppertal; University of Delaware; Vrije Universiteit Brussel; University of California System; University of California Irvine; University of California System; University of California Berkeley; Dortmund University of Technology; Universite Libre de Bruxelles; University System of Maryland; University of Maryland College Park; University of Kansas; Stockholm University; Uppsala University; University of Mons; Ghent University; University of Wisconsin System; Clark Atlanta University; Southern University System; Southern University &amp; A&amp;M College; University of Wisconsin System; University of Wisconsin Madison; Max Planck Society; Chiba University; RWTH Aachen University; Humboldt University of Berlin; Imperial College London; Linnaeus University; University of Kalmar; University of Oxford; University of Valencia; Consejo Superior de Investigaciones Cientificas (CSIC); CSIC - Instituto de Fisica Corpuscular (IFIC); Massachusetts Institute of Technology (MIT); University of Rome Tor Vergata; Istituto Nazionale Astrofisica (INAF); Consiglio Nazionale delle Ricerche (CNR); University of Chicago; California Institute of Technology; Max Planck Society; University of Ferrara; National Aeronautics &amp; Space Administration (NASA); NASA Goddard Space Flight Center; United States Department of Energy (DOE); Lawrence Berkeley National Laboratory; University of Alaska System; University of Alaska Anchorage; Pennsylvania Commonwealth System of Higher Education (PCSHE); Pennsylvania State University; Pennsylvania State University - University Park; Pennsylvania Commonwealth System of Higher Education (PCSHE); Pennsylvania State University; Pennsylvania State University - University Park; Institute for Advanced Study - USA</t>
  </si>
  <si>
    <t>Achterberg, A (corresponding author), Univ Utrecht, Dept Phys &amp; Astron, NL-3584 CC Utrecht, Netherlands.</t>
  </si>
  <si>
    <t>Wiebusch, Christopher H.V./G-6490-2012; Song, Chihwa/A-3455-2008; Bernardini, Elisa/AAA-4810-2020; Hundertmark, Stephan/A-6592-2010; Sarkar, Subir/GPT-4902-2022; Auffenberg, Jan/D-3954-2014; Seo, Seon Hee/K-9250-2014; Goodman, Jordan A/J-4188-2018; Naidu, Rajagopal/K-3038-2016; Seo, Seon-Hee/M-1189-2019; Díaz Vélez, Juan Carlos/T-2788-2018; Tjus, Julia/G-8145-2012; DeYoung, Tyce/O-6895-2019; Sarkar, Subir/G-5978-2011; Sánchez, Juan Antonio Aguilar/H-4467-2015; Hubert, Daan/I-1096-2019; Venkateswararao, Gollakaram/B-5490-2015; Matis, Howard/AAO-2082-2021; Resconi, Elisa/I-3874-2016; Boer, Michel/Q-4428-2019; Díaz Vélez, Juan Carlos/AAD-5211-2022; Matis, Howard S/HMV-9747-2023; de Dios Zornoza, Juan/L-1604-2014; Hallgren, Allan/A-8963-2013; Botner, Olga/A-9110-2013; Pena Garay, Carlos/H-5769-2018; Kowalski, Marek/G-5546-2012</t>
  </si>
  <si>
    <t>Wiebusch, Christopher H.V./0000-0002-6418-3008; Bernardini, Elisa/0000-0003-3108-1141; Auffenberg, Jan/0000-0002-1185-9094; Seo, Seon-Hee/0000-0002-1496-624X; Díaz Vélez, Juan Carlos/0000-0002-0087-0693; Tjus, Julia/0000-0002-1748-7367; DeYoung, Tyce/0000-0003-4873-3783; Sarkar, Subir/0000-0002-3542-858X; Hubert, Daan/0000-0002-4365-865X; Venkateswararao, Gollakaram/0000-0002-0327-7764; Resconi, Elisa/0000-0003-0705-2770; Boer, Michel/0000-0001-9157-4349; Díaz Vélez, Juan Carlos/0000-0002-0087-0693; Matis, Howard S/0000-0003-0764-4389; de Dios Zornoza, Juan/0000-0002-1834-0690; Crew, Geoffrey/0000-0002-2079-3189; Kappes, Alexander/0000-0003-1315-3711; Kolanoski, Hermann/0000-0003-0435-2524; Andeen, Karen/0000-0001-9394-0007; Seunarine, Suruj/0000-0003-3272-6896; Hill, Gary/0000-0001-8881-6802; Montaruli, Teresa/0000-0001-5014-2152; Yoshida, Shigeru/0000-0003-2480-5105; Taboada, Ignacio/0000-0003-3509-3457; Feroci, Marco/0000-0002-7617-3421; Ackermann, Markus/0000-0001-8952-588X; Sumner, Timothy/0000-0002-3572-600X; Franckowiak, Anna/0000-0002-5605-2219; Karg, Timo/0000-0003-3251-2126; Meszaros, Peter/0000-0002-4132-1746; Perez de los Heros, Carlos/0000-0002-2084-5866; Kampert, Karl-Heinz/0000-0002-2805-0195; Leier, Dominik/0000-0002-9588-1132; De Clercq, Catherine/0000-0001-5266-7059; Rhode, Wolfgang/0000-0003-2636-5000; Razzaque, Soebur/0000-0002-0130-2460; Bolmont, Julien/0000-0003-4739-8389; McCauley, Thomas/0000-0001-6589-8286; Desiati, Paolo/0000-0001-9768-1858; Burgess, Thomas/0000-0002-6993-5918; Klein, Spencer/0000-0003-2841-6553; Pena Garay, Carlos/0000-0003-1282-2944; Kowalski, Marek/0000-0001-8594-8666; Helbing, Klaus/0000-0003-2072-4172; Spiczak, Glenn/0000-0002-0030-0519; Beattie, Keith/0000-0001-5026-2023</t>
  </si>
  <si>
    <t>0004-637X</t>
  </si>
  <si>
    <t>1538-4357</t>
  </si>
  <si>
    <t>ASTROPHYS J</t>
  </si>
  <si>
    <t>Astrophys. J.</t>
  </si>
  <si>
    <t>FEB 10</t>
  </si>
  <si>
    <t>10.1086/524920</t>
  </si>
  <si>
    <t>266RJ</t>
  </si>
  <si>
    <t>Green Submitted, Bronze, Green Published</t>
  </si>
  <si>
    <t>WOS:000253454400032</t>
  </si>
  <si>
    <t>Olivier, F; Wotherspoon, SJ</t>
  </si>
  <si>
    <t>Olivier, Frederique; Wotherspoon, Simon J.</t>
  </si>
  <si>
    <t>Nest selection by snow petrels Pagodroma nivea in East Antarctica -: Validating predictive habitat selection models at the continental scale</t>
  </si>
  <si>
    <t>ECOLOGICAL MODELLING</t>
  </si>
  <si>
    <t>habitat selection; nest distribution; model validation; generalized linear model (GLM); classification tree (CT)</t>
  </si>
  <si>
    <t>TREECREEPER CLIMACTERIS-RUFA; PRESENCE-ONLY DATA; PRESENCE-ABSENCE; REQUIREMENTS; CONSERVATION; PERFORMANCE; BIRDS; CLASSIFICATION; DISTRIBUTIONS; RESPONSES</t>
  </si>
  <si>
    <t>Little is known on the factors controlling distribution and abundance of snow petrels in Antarctica. Studying habitat selection through modeling may provide useful information on the relationships between this species and its environment, especially relevant in a climate change context, where habitat availability may change. Validating the predictive capability of habitat selection models with independent data is a vital step in assessing the performance of such models and their potential for predicting species' distribution in poorly documented areas. From the results of ground surveys conducted in the Casey region (2002-2003, Wilkes Land, East Antarctica), habitat selection models based on a dataset of 4000 nests were created to predict the nesting distribution of snow petrels as a function of topography and substrate. In this study, the Casey models were tested at Mawson, 3800 km away from Casey. The location and characteristics of approximately 7700 snow petrel nests were collected during ground surveys (Summer 2004-2005). Using GIS, predictive maps of nest distribution were produced for the Mawson region with the models derived from the Casey datasets and predictions were compared to the observed data. Models performance was assessed using classification matrixes and Receiver operating characteristic (ROC) curves. Overall correct classification rates for the Casey models varied from 57% to 90%. However, two geomorphologically different sub-regions (coastal islands and inland mountains) were clearly distinguished in terms of habitat selection by Casey model predictions but also by the specific variations in coefficients of terms in new models, derived from the Mawson data sets. Observed variations in the snow petrel aggregations were found to be related to local habitat availability. We discuss the applicability of various types of models (GLM, CT) and investigate the effect of scale on the prediction of snow petrel habitats. While the Casey models created with data collected at the nest scale did not perform well at Mawson due to regional variations in nest micro-characteristics, the predictive performance of models created with data compiled at a coarser scale (habitat units) was satisfactory. Substrate type was the most robust predictor of nest presence between Casey and Mawson. This study demonstrate that it is possible to predict at the large scale the presence of snow petrel nests based on simple predictors such as topography and substrate, which can be obtained from aerial photography Such methodologies have valuable applications in the management and conservation of this top predator and associated resources and may be applied to other Antarctic, Sub-Antarctic and lower latitudes species and in a variety of habitats. Crown Copyright (c) 2007 Published by Elsevier B.V. All rights reserved.</t>
  </si>
  <si>
    <t>[Olivier, Frederique] Univ Tasmania, Inst Antarctic &amp; So Ocean Studies, Hobart, Tas 7001, Australia; [Wotherspoon, Simon J.] Univ Tasmania, Sch Math &amp; Phys, Hobart, Tas 7001, Australia</t>
  </si>
  <si>
    <t>University of Tasmania; University of Tasmania</t>
  </si>
  <si>
    <t>Olivier, F (corresponding author), Univ Tasmania, Inst Antarctic &amp; So Ocean Studies, Private Bag 77, Hobart, Tas 7001, Australia.</t>
  </si>
  <si>
    <t>folivier@utas.edu.au</t>
  </si>
  <si>
    <t>Wotherspoon, Simon J/B-2390-2013</t>
  </si>
  <si>
    <t>Wotherspoon, Simon J/0000-0002-6947-4445</t>
  </si>
  <si>
    <t>0304-3800</t>
  </si>
  <si>
    <t>1872-7026</t>
  </si>
  <si>
    <t>ECOL MODEL</t>
  </si>
  <si>
    <t>Ecol. Model.</t>
  </si>
  <si>
    <t>10.1016/j.ecolmodel.2007.08.006</t>
  </si>
  <si>
    <t>261WU</t>
  </si>
  <si>
    <t>WOS:000253111500004</t>
  </si>
  <si>
    <t>Tang, XY; Zhang, ZH; Sun, B; Li, YS; Li, N; Wang, BB; Zhang, XP</t>
  </si>
  <si>
    <t>Tang, Xueyuan; Zhang, Zhanhai; Sun, Bo; Li, Yuansheng; Li, Na; Wang, Bangbing; Zhang, Xiangpei</t>
  </si>
  <si>
    <t>Antarctic ice sheet GLIMMER model test and its simplified model on 2-dimensional ice flow</t>
  </si>
  <si>
    <t>PROGRESS IN NATURAL SCIENCE-MATERIALS INTERNATIONAL</t>
  </si>
  <si>
    <t>Antarctic ice sheet; GLIMMER model; numerical simulation; 2-dimensional ice flow</t>
  </si>
  <si>
    <t>GREENLAND</t>
  </si>
  <si>
    <t>The 3-dimensional finite difference thermodynamic coupled model on Antarctic ice sheet, GLIMMER model, is described. An idealized ice sheet numerical test was conducted under the EISMINT-1 benchmark, and the characteristic curves of ice sheets under steady state were obtained. Based on this, this model was simplified from a 3-dimensional one to 2-dimensional one. Improvement of the difference method and coordinate system was proposed. Evolution of the 2-dimensional ice flow was simulated under coupled temperature field conditions. The results showed that the characteristic curves deriving from the conservation of the mass, momentum and energy agree with the results of ice sheet profile simulated with GLIMMER model and with the theoretical results. The application prospect of the simplified 2-dimensional ice flow model to simulate the relation of age-depth-accumulation in Dome A region was discussed. (c) 2007 National Natural Science Foundation of China and Chinese Academy of Sciences. Published by Elsevier Limited and Science in China Press. All rights reserved.</t>
  </si>
  <si>
    <t>[Tang, Xueyuan; Zhang, Zhanhai; Sun, Bo; Li, Yuansheng; Li, Na; Wang, Bangbing; Zhang, Xiangpei] Polar Res Inst China, Shanghai 200136, Peoples R China; [Wang, Bangbing; Zhang, Xiangpei] Jilin Univ, Coll Geoexplorat Sci &amp; Technol, Changchun 130026, Peoples R China</t>
  </si>
  <si>
    <t>Polar Research Institute of China; Jilin University</t>
  </si>
  <si>
    <t>Tang, XY (corresponding author), Polar Res Inst China, Shanghai 200136, Peoples R China.</t>
  </si>
  <si>
    <t>tangxueyuan@pric.gov.cn</t>
  </si>
  <si>
    <t>1002-0071</t>
  </si>
  <si>
    <t>1745-5391</t>
  </si>
  <si>
    <t>PROG NAT SCI-MATER</t>
  </si>
  <si>
    <t>Prog. Nat. Sci.</t>
  </si>
  <si>
    <t>10.1016/j.pnsc.2007.07.014</t>
  </si>
  <si>
    <t>Materials Science, Multidisciplinary; Multidisciplinary Sciences</t>
  </si>
  <si>
    <t>Materials Science; Science &amp; Technology - Other Topics</t>
  </si>
  <si>
    <t>271CT</t>
  </si>
  <si>
    <t>WOS:000253767200007</t>
  </si>
  <si>
    <t>Shevenell, AE; Kennett, JP; Lea, DW</t>
  </si>
  <si>
    <t>Shevenell, Amelia E.; Kennett, James P.; Lea, David W.</t>
  </si>
  <si>
    <t>Middle Miocene ice sheet dynamics, deep-sea temperatures, and carbon cycling: A Southern Ocean perspective</t>
  </si>
  <si>
    <t>paleoceanography; Cenozoic climate; geochemistry; Antarctica</t>
  </si>
  <si>
    <t>FORAMINIFERAL MG/CA-PALEOTHERMOMETRY; SURFACE TEMPERATURE; ISOTOPE; EVOLUTION; DIOXIDE; RECORD; CIRCULATION; GLACIATION; DELTA-O-18; ATLANTIC</t>
  </si>
  <si>
    <t>Relative contributions of ice volume and temperature change to the global similar to 1 parts per thousand delta O-18 increase at similar to 14 Ma are required for understanding feedbacks involved in this major Cenozoic climate transition. A 3-ma benthic foraminifer Mg/Ca record of Southern Ocean temperatures across the middle Miocene climate transition reveals similar to 2 +/- 2 degrees C cooling (14.2-13.8 Ma), indicating that similar to 70% of the increase relates to ice growth. Seawater delta O-18, calculated from Mg/Ca and delta O-18, suggests that at similar to 15 Ma Antarctica's cryosphere entered an interval of apparent eccentricity-paced expansion. Glaciations increased in intensity, revealing a central role for internal climate feedbacks. Comparison of ice volume and ocean temperature records with inferred pCO(2) levels indicates that middle Miocene cryosphere expansion commenced during an interval of Southern Ocean warmth and low atmospheric pCO(2). The Antarctic system appears sensitive to changes in heat/moisture supply when atmospheric pCO(2) was low, suggesting the importance of internal feedbacks in this climate transition.</t>
  </si>
  <si>
    <t>[Shevenell, Amelia E.; Kennett, James P.; Lea, David W.] Univ Calif Santa Barbara, Geol Sci &amp; Marine Sci Inst, Santa Barbara, CA 93106 USA</t>
  </si>
  <si>
    <t>University of California System; University of California Santa Barbara</t>
  </si>
  <si>
    <t>Shevenell, AE (corresponding author), Univ Washington, Sch Oceanog, Box 357940, Seattle, WA 98195 USA.</t>
  </si>
  <si>
    <t>ashevenell@ocean.washington.edu</t>
  </si>
  <si>
    <t>shevenell, Amelia/A-4161-2009; Shevenell, Amelia E/C-2757-2015</t>
  </si>
  <si>
    <t>FEB 9</t>
  </si>
  <si>
    <t>Q02006</t>
  </si>
  <si>
    <t>10.1029/2007GC001736</t>
  </si>
  <si>
    <t>261FA</t>
  </si>
  <si>
    <t>WOS:000253063300001</t>
  </si>
  <si>
    <t>Lefebvre, W; Goosse, H</t>
  </si>
  <si>
    <t>Lefebvre, Wouter; Goosse, Hugues</t>
  </si>
  <si>
    <t>An analysis of the atmospheric processes driving the large-scale winter sea ice variability in the Southern Ocean</t>
  </si>
  <si>
    <t>ANNULAR MODE; TRANSIENT-RESPONSES; GRADUAL CHANGES; CLIMATE; HEMISPHERE; OSCILLATION; TEMPERATURE; CIRCULATION; CO2; PATTERNS</t>
  </si>
  <si>
    <t>The response of the sea ice in the Southern Ocean to the variability of the atmosphere on the period 1979-2004 is investigated using both model and observational data. On the one hand, our results show that in line with previous investigations, the classical modes of atmospheric variability do not explain a large part of the winter sea ice extent variability integrated over the entire Southern Ocean. On the other hand, the regression between the ice extent and the atmospheric pressure displays a pattern with low pressure areas over the South Atlantic, over the Indian Ocean, and on the southwestern part of the Pacific Ocean and a high pressure area over the Antarctic region extending toward both the southeastern Pacific and the region south of Australia. This pattern, which does not correlate significantly with any of the known modes of atmospheric variability, induces changes in the sea ice extent by influencing the air temperature, the ice production, and both the meridional and the zonal ice velocity. However, there is no clear link between the different centers of action of this pattern. Furthermore, the correlation of the sea ice extent between the different sectors is generally low. As a conclusion, we must consider that the sea ice extent in the Southern Ocean over the last 30 years does not behave as a single entity: Its variability is the result of the combination of regional sea ice changes. Each sector should thus be examined separately.</t>
  </si>
  <si>
    <t>[Lefebvre, Wouter; Goosse, Hugues] Catholic Univ Louvain, Inst Astron &amp; Geophys Georges Lemaitre, B-1348 Louvain, Belgium</t>
  </si>
  <si>
    <t>Universite Catholique Louvain</t>
  </si>
  <si>
    <t>Lefebvre, W (corresponding author), Catholic Univ Louvain, Inst Astron &amp; Geophys Georges Lemaitre, B-1348 Louvain, Belgium.</t>
  </si>
  <si>
    <t>lefebvre@astr.ucl.ac.be</t>
  </si>
  <si>
    <t>Lefebvre, Wouter/F-5610-2015</t>
  </si>
  <si>
    <t>Lefebvre, Wouter/0000-0002-3277-3118</t>
  </si>
  <si>
    <t>FEB 7</t>
  </si>
  <si>
    <t>C02004</t>
  </si>
  <si>
    <t>10.1029/2006JC004032</t>
  </si>
  <si>
    <t>261GM</t>
  </si>
  <si>
    <t>WOS:000253067100001</t>
  </si>
  <si>
    <t>Parrilli, E; De Vizio, D; Cirulli, C; Tutino, ML</t>
  </si>
  <si>
    <t>Parrilli, Ermenegilda; De Vizio, Daniela; Cirulli, Claudia; Tutino, Maria Luisa</t>
  </si>
  <si>
    <t>Development of an improved Pseudoalteromonas haloplanktis TAC125 strain for recombinant protein secretion at low temperature</t>
  </si>
  <si>
    <t>MICROBIAL CELL FACTORIES</t>
  </si>
  <si>
    <t>ESCHERICHIA-COLI; II SECRETION; ALPHA-AMYLASE; ALTEROMONAS-HALOPLANCTIS; PSEUDOMONAS-AERUGINOSA; CYTOPLASMIC MEMBRANE; EXPRESSION; CLONING; VECTOR; SYSTEM</t>
  </si>
  <si>
    <t>Background: In a previous paper, we reported the accomplishment of a cold gene-expression system for the recombinant secretion of heterologous proteins in Pseudoalteromonas haloplanktis TAC125. This system makes use of the psychrophilic alpha-amylase from P. haloplanktis TAB23 as secretion carrier, and allows an effective extra-cellular addressing of recombinant proteins. However, Pseudoalteromonales are reported to secrete a wide range of extra-cellular proteases. This feature works against the efficiency of the cold-adapted secretion system, because of the proteolytic degradation of recombinant products. The aim of this study is the construction of a P. haloplanktis TAC125 mutant strain with reduced extra-cellular proteolytic activity. Results: P. haloplanktis TAC125 culture medium resulted to contain multiple and heterogeneous proteases. Since the annotation of the Antarctic bacterium genome highlighted the presence of only one canonical secretion machinery, namely the Type II secretion pathway ( T2SS), we have inactivated this secretion system by a gene insertion strategy. A mutant strain of P. haloplanktis TAC125 in which the gspE gene was knocked-out, actually displayed a remarkable reduction of the extra-cellular protease secretion. Quite interestingly this strain still retained the ability to secrete the psychrophilic amylase as efficiently as the wild type. Moreover, the decrease in extra-cellular proteolytic activity resulted in a substantial improvement in the stability of the secreted amylase-beta-lactamase chimera. Conclusion: Here we report a cell engineering approach to the construction of a P. haloplanktis TAC125 strain with reduced extra-cellular protease activity. The improved strain is able to secrete the psychrophilic alpha-amylase ( the carrier of our recombinant secretion system), while it displays a significant reduction of protease content in the culture medium. These features make the gspE mutant an improved host with a remarkable biotechnological potential in recombinant protein secretion at low temperature. Moreover this work demonstrates that P. haloplanktis TAC125 is a versatile psychrophilic host for recombinant protein production since it can be easily improved by a directed engineering approach. To the best of our knowledge, this is the first described example of a strain improvement strategy applied to an Antarctic bacterium.</t>
  </si>
  <si>
    <t>[Parrilli, Ermenegilda; De Vizio, Daniela; Cirulli, Claudia; Tutino, Maria Luisa] Univ Naples Federico 2, Dipartimento Chim Organ &amp; Biochim, I-80126 Naples, Italy; [Parrilli, Ermenegilda; Tutino, Maria Luisa] Univ Naples Federico 2, Fac Sci Biotecnol, Naples, Italy; [Parrilli, Ermenegilda; Tutino, Maria Luisa] Univ Milano Bicocca, Dipartimento Biotecnol &amp; Biosci, I-20126 Milan, Italy; [Cirulli, Claudia] Univ Milano Bicocca, Dipartimento Biotecnol &amp; Biosci, I-20126 Milan, Italy</t>
  </si>
  <si>
    <t>University of Naples Federico II; University of Naples Federico II; University of Milano-Bicocca; University of Milano-Bicocca</t>
  </si>
  <si>
    <t>Tutino, ML (corresponding author), Univ Naples Federico 2, Dipartimento Chim Organ &amp; Biochim, Complesso Univ MS Angelo Via Cinthia 4, I-80126 Naples, Italy.</t>
  </si>
  <si>
    <t>erparril@unina.it; dana.devizio@googlemail.com; cirulli@unina.it; tutino@unina.it</t>
  </si>
  <si>
    <t>parrilli, ermenegilda/JAZ-0586-2023; TUTINO, MARIA LUISA/L-1834-2013; parrilli, ermenegilda/K-4616-2016</t>
  </si>
  <si>
    <t>parrilli, ermenegilda/0000-0002-9002-5409; Tutino, Maria Luisa/0000-0002-4978-6839</t>
  </si>
  <si>
    <t>1475-2859</t>
  </si>
  <si>
    <t>MICROB CELL FACT</t>
  </si>
  <si>
    <t>Microb. Cell. Fact.</t>
  </si>
  <si>
    <t>10.1186/1475-2859-7-2</t>
  </si>
  <si>
    <t>280WL</t>
  </si>
  <si>
    <t>WOS:000254457300001</t>
  </si>
  <si>
    <t>Bracegirdle, TJ; Connolley, WM; Turner, J</t>
  </si>
  <si>
    <t>Bracegirdle, Thomas J.; Connolley, William M.; Turner, John</t>
  </si>
  <si>
    <t>Antarctic climate change over the twenty first century</t>
  </si>
  <si>
    <t>SOUTHERN-HEMISPHERE CLIMATE; SEMIANNUAL OSCILLATION; PART 1; 20TH-CENTURY; TRANSPORT; MECHANISM; MODELS</t>
  </si>
  <si>
    <t>Here we present a new assessment of Antarctic climate change over the 21st century based on data from the models that were developed as part of the Intergovernmental Panel on Climate Change (IPCC) 4th Assessment Report (AR4). To provide more reliable estimates of future change, a weighting scheme was applied to the model output, which depends on a measure of their ability to reproduce the mean climate of the late 20th century. The results show a seasonal variation of increases in circumpolar westerlies around Antarctica, which show the largest increases of 27% in autumn. This seasonal cycle was found to be consistent with projected changes in the semi-annual oscillation (SAO). In summer and autumn the increases of the westerly wind component migrate sufficiently far south to be manifested as a reduction of the coastal easterlies. The surface warming averaged over the continent is projected to be 0.34 degrees C dec(-1) with an inter-model standard deviation of 0.10 degrees C dec(-1). More rapid warming occurs during the winter over regions of sea ice retreat, e. g., 0.51 +/- 0.26 degrees C dec(-1) around East Antarctica. Projections of total sea-ice area show a decrease of 2.6 +/- 0.73 x 10(6) km(2) (33%). There is a projected increase of net precipitation averaged over the continent of 2.9 +/- 1.2 mm a(-1) dec(-1). The weighting gives a larger increase of the autumn SAO peak, up to 30% larger for April. This is consistent with larger weighted autumn increases of circumpolar westerlies, more sea ice reduction and resulting larger skin temperature increases.</t>
  </si>
  <si>
    <t>[Bracegirdle, Thomas J.; Connolley, William M.; Turner, John] British Antarctic Survey, Cambridge CB3 0ET, England</t>
  </si>
  <si>
    <t>Bracegirdle, TJ (corresponding author), British Antarctic Survey, Cambridge CB3 0ET, England.</t>
  </si>
  <si>
    <t>Bracegirdle, Thomas/0000-0002-8868-4739; Turner, John/0000-0002-6111-5122</t>
  </si>
  <si>
    <t>FEB 6</t>
  </si>
  <si>
    <t>D3</t>
  </si>
  <si>
    <t>D03103</t>
  </si>
  <si>
    <t>10.1029/2007JD008933</t>
  </si>
  <si>
    <t>261FW</t>
  </si>
  <si>
    <t>WOS:000253065500003</t>
  </si>
  <si>
    <t>Renard, JB; Berthet, G; Brogniez, C; Catoire, V; Fussen, D; Goutail, F; Oelhaf, H; Pommereau, JP; Roscoe, HK; Wetzel, G; Chartier, M; Robert, C; Balois, JY; Verwaerde, C; Auriol, F; François, P; Gaubicher, B; Wursteisen, P</t>
  </si>
  <si>
    <t>Renard, Jean-Baptiste; Berthet, Gwenaeel; Brogniez, Colette; Catoire, Valery; Fussen, Didier; Goutail, Florence; Oelhaf, Hermann; Pommereau, Jean-Pierre; Roscoe, Howard K.; Wetzel, Gerald; Chartier, Michel; Robert, Claude; Balois, Jean-Yves; Verwaerde, Christian; Auriol, Frederique; Francois, Philippe; Gaubicher, Bertrand; Wursteisen, Patrick</t>
  </si>
  <si>
    <t>Validation of GOMOS-Envisat vertical profiles of O3, NO2, NO3, and aerosol extinction using balloon-borne instruments and analysis of the retrievals</t>
  </si>
  <si>
    <t>NEAR-INFRARED DOMAINS; STRATOSPHERIC AEROSOLS; PHYSICAL-PROPERTIES; SPECTROMETERS; SALOMON; OZONE; AMON; OCCULTATION</t>
  </si>
  <si>
    <t>The UV-visible Global Ozone Monitoring by Occultation of Stars (GOMOS) instrument onboard Envisat performs nighttime measurements of ozone, NO2, NO3 and of the aerosol extinction, using the stellar occultation method. We have conducted a validation exercise using various balloon-borne instruments in different geophysical conditions from 2002 to 2006, using GOMOS measurements performed with stars of different magnitudes. GOMOS and balloon-borne vertical columns in the middle stratosphere are in excellent agreement for ozone and NO2. Some discrepancies can appear between GOMOS and balloon-borne vertical profiles for the altitude and the amplitude of the concentration maximum. These discrepancies are randomly distributed, and no bias is detected. The accuracy of individual profiles in the middle stratosphere is 10% for ozone and 25% for NO2. On the other hand, the GOMOS NO3 retrieval is difficult and no direct validation can be conducted. The GOMOS aerosol content is also well estimated, but the wavelength dependence can be better estimated if the aerosol retrieval is performed only in the visible domain. We can conclude that the GOMOS operational retrieval algorithm works well and that GOMOS has fully respected its primary objective for the study of the trends of species in the middle stratosphere, using the profiles in a statistical manner. Some individual profiles can be partly inaccurate, in particular in the lower stratosphere. Improvements could be obtained by reprocessing some GOMOS transmissions in case of specific studies in the middle and lower stratosphere when using the individual profiles.</t>
  </si>
  <si>
    <t>[Renard, Jean-Baptiste; Berthet, Gwenaeel; Catoire, Valery; Chartier, Michel; Robert, Claude; Gaubicher, Bertrand] Univ Orleans, CNRS, LPCE, Orleans, France; [Brogniez, Colette; Balois, Jean-Yves; Verwaerde, Christian; Auriol, Frederique; Francois, Philippe] CNRS, LOA, Villeneuve Dascq, France; [Fussen, Didier] IASB, Brussels, Belgium; [Goutail, Florence; Pommereau, Jean-Pierre] Serv Aeron, Verrieres Le Buisson, France; [Oelhaf, Hermann; Wetzel, Gerald] Forschungszentrum Karlsruhe, Inst Meteorol &amp; Klimaforschung, D-76021 Karlsruhe, Germany; [Roscoe, Howard K.] British Antarctic Survey, NERC, Cambridge CB3 0ET, England; [Wursteisen, Patrick] European Space Agcy, ESTEC SMS, NL-2200 AG Noordwijk, Netherlands</t>
  </si>
  <si>
    <t>Centre National de la Recherche Scientifique (CNRS); Universite de Orleans; Centre National de la Recherche Scientifique (CNRS); Helmholtz Association; Karlsruhe Institute of Technology; UK Research &amp; Innovation (UKRI); Natural Environment Research Council (NERC); NERC British Antarctic Survey; European Space Agency</t>
  </si>
  <si>
    <t>Renard, JB (corresponding author), Univ Orleans, CNRS, LPCE, Orleans, France.</t>
  </si>
  <si>
    <t>jbrenard@cnrs-orleans.fr</t>
  </si>
  <si>
    <t>Wetzel, Gerald/A-7065-2013; Oelhaf, Hermann A/A-7895-2013; Chartier, Marielle/F-4055-2018; CATOIRE, Valery/E-9662-2015</t>
  </si>
  <si>
    <t>Wetzel, Gerald/0000-0002-6671-0297; Frederique, Auriol/0000-0001-5256-9993; CATOIRE, Valery/0000-0001-8126-3096</t>
  </si>
  <si>
    <t>A2</t>
  </si>
  <si>
    <t>A02302</t>
  </si>
  <si>
    <t>10.1029/2007JA012345</t>
  </si>
  <si>
    <t>261GY</t>
  </si>
  <si>
    <t>WOS:000253068300002</t>
  </si>
  <si>
    <t>St John, K</t>
  </si>
  <si>
    <t>St. John, Kristen</t>
  </si>
  <si>
    <t>Cenozoic ice-rafting history of the central Arctic Ocean: Terrigenous sands on the Lomonosov Ridge</t>
  </si>
  <si>
    <t>SEA-ICE; CIRCULATION; SEDIMENTS; EOCENE; GREENLAND; TRANSPORT; CLASTS; DRIFT; MA</t>
  </si>
  <si>
    <t>The Cenozoic ice-rafted debris (IRD) history of the central Arctic is reconstructed utilizing the terrigenous coarse sand fraction in IODP 302 cores from 0 to 273 meters composite depth. This Holocene-middle Eocene quantitative record of terrigenous sand accumulation on the Lomonosov Ridge, along with qualitative information on grain texture and composition, confirms the interpretation that ice initiation (sea ice and glacial ice) occurred similar to 46 Ma in the Arctic, and provides a long-term pattern of Arctic ice expansion and decay since the middle Eocene. IRD mass accumulation rates range from 0 to 0.13 g/cm(2)/ka in the middle Eocene and from 0 to 0.36 g/cm(2)/ka in the Neogene. IRD mass accumulation rate (MAR) maxima in the Miocene and Pliocene cooccur with either glacial initiation or intensification in the sub-Arctic. The 46.25 Ma IRD onset in the central Arctic slightly precedes the earliest evidence of ice in the Antarctic, and compares in timing with a &gt; 1000 ppm decrease in atmospheric concentrations of CO2. The decline of pCO(2) in the middle Eocene may have driven both poles across the temperature threshold that enabled the nucleation of glaciers on land and partial freezing of the surface Arctic Ocean, especially during times of low insolation.</t>
  </si>
  <si>
    <t>James Madison Univ, Dept Geol &amp; Environm Sci, Harrisonburg, VA 22807 USA</t>
  </si>
  <si>
    <t>James Madison University</t>
  </si>
  <si>
    <t>St John, K (corresponding author), James Madison Univ, Dept Geol &amp; Environm Sci, MSC 6903, Harrisonburg, VA 22807 USA.</t>
  </si>
  <si>
    <t>stjohnke@jmu.edu</t>
  </si>
  <si>
    <t>PA1S05</t>
  </si>
  <si>
    <t>10.1029/2007PA001483</t>
  </si>
  <si>
    <t>261HI</t>
  </si>
  <si>
    <t>WOS:000253069300001</t>
  </si>
  <si>
    <t>Giles, KA; Laxon, SW; Worby, AP</t>
  </si>
  <si>
    <t>Giles, Katharine A.; Laxon, Seymour W.; Worby, Anthony P.</t>
  </si>
  <si>
    <t>Antarctic sea ice elevation from satellite radar altimetry</t>
  </si>
  <si>
    <t>WINTER SNOW COVER; THICKNESS DISTRIBUTION; AIRBORNE LASER; FRAM STRAIT; VARIABILITY; OCEAN</t>
  </si>
  <si>
    <t>In situ measurements of sea ice thickness from ship and upward-looking sonar are used to assess the potential for satellite radar altimetry to provide information on Antarctic sea ice thickness. A climatology of satellite ice elevation estimates is compared to an Antarctic sea ice thickness climatology made from the Antarctic Sea Ice Processes and Climate ( ASPeCt) data set. In addition monthly, regional, satellite ice elevation estimates are compared to ULS ice draft data. The results show reasonable spatial agreement between the satellite and in-situ data, and show regional signals of change in ice elevation in line with that which would be expected. The results show some promise for providing information on Antarctic ice thickness from radar altimetry missions such as CryoSat. However, further studies into snow and ice density and the radar penetration into the Antarctic snow cover are required.</t>
  </si>
  <si>
    <t>[Giles, Katharine A.; Laxon, Seymour W.] UCL, Ctr Polar Observ &amp; Modelling, Dept Earth Sci, London WC1E 6BT, England; [Worby, Anthony P.] Univ Tasmania, ACE CRC, Hobart, Tas 7001, Australia; [Worby, Anthony P.] Univ Tasmania, Australian Govt Antarctic Div, Hobart, Tas 7001, Australia</t>
  </si>
  <si>
    <t>University of London; University College London; University of Tasmania; Antarctic Climate &amp; Ecosystems Cooperative Research Centre (ACE CRC); University of Tasmania; Australian Antarctic Division</t>
  </si>
  <si>
    <t>Giles, KA (corresponding author), UCL, Ctr Polar Observ &amp; Modelling, Dept Earth Sci, Mortimer St, London WC1E 6BT, England.</t>
  </si>
  <si>
    <t>k.giles@cpom.ucl.ac.uk; A.Worby@utas.edu.au</t>
  </si>
  <si>
    <t>Worby, Anthony P/A-2373-2012; Laxon, Seymour/C-1644-2008; Giles, Katharine A/G-3837-2010</t>
  </si>
  <si>
    <t>Natural Environment Research Council [earth010006, cpom20001] Funding Source: researchfish; NERC [cpom20001] Funding Source: UKRI</t>
  </si>
  <si>
    <t>FEB 5</t>
  </si>
  <si>
    <t>L03503</t>
  </si>
  <si>
    <t>10.1029/2007GL031572</t>
  </si>
  <si>
    <t>261FB</t>
  </si>
  <si>
    <t>WOS:000253063400002</t>
  </si>
  <si>
    <t>Wells, MG; Wettlaufer, JS</t>
  </si>
  <si>
    <t>Wells, Mathew G.; Wettlaufer, J. S.</t>
  </si>
  <si>
    <t>Circulation in Lake Vostok: A laboratory analogue study</t>
  </si>
  <si>
    <t>ANTARCTIC SUBGLACIAL LAKES; EAST ANTARCTICA; ICE; FLOW; EXCHANGE; FROZEN</t>
  </si>
  <si>
    <t>The waters of sub-glacial Lake Vostok are thought to represent a unique biological habitat that has been out of contact with the atmosphere for millions of years. Although the water circulation within the lake will determine how nutrients are redistributed and hence where life may exist, the handful of existing studies conflict regarding whether the lake is stratified or well mixed, whether there is a clockwise or anti-clockwise circulation, or whether the sloping roof leads to a flow intensified along the eastern boundary. Here, an experimental analogue model of Lake Vostok is used to show a qualitatively different mode of circulation than described previously. The dominant mode of dispersion, and hence bio- and chemical redistribution, is controlled by the presence of columnar vortex structures that arise from rotating convection. This form of circulation does not occur in any other lake on Earth. We estimate that a water parcel takes 20-30 days to travel from the base to the roof of Lake Vostok and will experience minimal lateral mixing during this time. As the nutrient supply to the lake via melting ice is predicted to be less than that required for active growth within the entire lake, we speculate that this form of slow columnar convection would lead to the presence of thin biological boundary layers within the waters of the lake. This has important implications for the interpretation of any direct water samples taken near the roof of Lake Vostok.</t>
  </si>
  <si>
    <t>[Wells, Mathew G.; Wettlaufer, J. S.] Yale Univ, Dept Geol &amp; Geophys, New Haven, CT 06520 USA; [Wettlaufer, J. S.] Yale Univ, Dept Phys, New Haven, CT USA</t>
  </si>
  <si>
    <t>Yale University; Yale University</t>
  </si>
  <si>
    <t>Wells, MG (corresponding author), Univ Toronto, Dept Phys &amp; Environm Sci, 1265 Mil Trail, Toronto, ON M1C 1A4, Canada.</t>
  </si>
  <si>
    <t>wells@utsc.utoronto.ca</t>
  </si>
  <si>
    <t>wells, mathew G/A-7101-2012; Wettlaufer, John/AAZ-9949-2021</t>
  </si>
  <si>
    <t>wells, mathew/0000-0003-3838-9202</t>
  </si>
  <si>
    <t>L03501</t>
  </si>
  <si>
    <t>10.1029/2007GL032162</t>
  </si>
  <si>
    <t>WOS:000253063400004</t>
  </si>
  <si>
    <t>Joos, F; Spahni, R</t>
  </si>
  <si>
    <t>Joos, Fortunat; Spahni, Renato</t>
  </si>
  <si>
    <t>Rates of change in natural and anthropogenic radiative forcing over the past 20,000 years</t>
  </si>
  <si>
    <t>climate change; global warming; greenhouse gas; ice core</t>
  </si>
  <si>
    <t>CLIMATE-CHANGE; POLAR ICE; ATMOSPHERIC CO2; ANTARCTIC ICE; AIR; SIMULATIONS; IRRADIANCE; MILLENNIUM; AGE; CH4</t>
  </si>
  <si>
    <t>The rate of change of climate codetermines the global warming impacts on natural and socioeconomic systems and their capabilities to adapt. Establishing past rates of climate change from temperature proxy data remains difficult given their limited spatiotemporal resolution. In contrast, past greenhouse gas radiative forcing, causing climate to change, is well known from ice cores. We compare rates of change of anthropogenic forcing with rates of natural greenhouse gas forcing since the Last Glacial Maximum and of solar and volcanic forcing of the last millennium. The smoothing of atmospheric variations by the enclosure process of air into ice is computed with a firn diffusion and enclosure model. The 20th century increase in CO2 and its radiative forcing occurred more than an order of magnitude faster than any sustained change during the past 22,000 years. The average rate of increase in the radiative forcing not just from CO2 but from the combination of CO2, CH4, and N2O is larger during the Industrial Era than during any comparable period of at least the past 16,000 years. In addition, the decadal-to-century scale rate of change in anthropogenic forcing is unusually high in the context of the natural forcing variations (solar and volcanoes) of the past millennium. Our analysis implies that global climate change, which is anthropogenic in origin, is progressing at a speed that is unprecedented at least during the last 22,000 years.</t>
  </si>
  <si>
    <t>[Joos, Fortunat] Univ Bern, Inst Phys, CH-3012 Bern, Switzerland; Univ Bern, Oeschger Ctr Climate Change Res, CH-3012 Bern, Switzerland</t>
  </si>
  <si>
    <t>University of Bern; University of Bern</t>
  </si>
  <si>
    <t>Joos, F (corresponding author), Univ Bern, Inst Phys, Sidlerstr 5, CH-3012 Bern, Switzerland.</t>
  </si>
  <si>
    <t>joos@climate.unibe.ch</t>
  </si>
  <si>
    <t>Joos, Fortunat/B-4118-2018</t>
  </si>
  <si>
    <t>Joos, Fortunat/0000-0002-9483-6030</t>
  </si>
  <si>
    <t>10.1073/pnas.0707386105</t>
  </si>
  <si>
    <t>261KQ</t>
  </si>
  <si>
    <t>WOS:000253077900010</t>
  </si>
  <si>
    <t>Smith, JD; Margolis, SA; Ayton, J; Ross, V; Chalmers, E; Giddings, P; Baker, L; Kelly, M; Love, C</t>
  </si>
  <si>
    <t>Smith, Janie D.; Margolis, Stephen A.; Ayton, Jeff; Ross, Victoria; Chalmers, Elizabeth; Giddings, Patrick; Baker, Louise; Kelly, Martin; Love, Catherine</t>
  </si>
  <si>
    <t>Defining remote medical practice</t>
  </si>
  <si>
    <t>MEDICAL JOURNAL OF AUSTRALIA</t>
  </si>
  <si>
    <t>More than three-quarters of Australia is classified as geographically remote. Remote areas are characterised by geographic isolation, cultural diversity, socioeconomic inequality, resource inequity, Indigenous health inequality, and a full range of extreme climatic conditions. Although several descriptive definitions have been developed for remote health and remote practice, definitions of remote medical practice or remote medicine have not been previously published. In 2007, a working group of doctors and academics with experience in remote medicine was formed to develop the first advanced specialised remote medicine curriculum for remote doctors undertaking training with the Australian College of Rural and Remote Medicine. The first step was to define remote medical practice. Remote medical practice has eight key features: employment rather than private practice, isolation, use of telehealth, increased clinical acumen, extended practice, cross-cultural setting, multidisciplinary practice, and an emphasis on public health and personal security. From these eight features, we developed the first working definition of remote medical practice in the Australian context. Our definition will assist policymakers, medical colleges, standard setters, and educators to develop programs and resources for the future remote medical workforce.</t>
  </si>
  <si>
    <t>[Smith, Janie D.] RhED Consulting Pty Ltd, Ocean Shores, NSW, Australia; [Smith, Janie D.; Margolis, Stephen A.] James Cook Univ N Queensland, Sch Med, Townsville, Qld 4811, Australia; [Margolis, Stephen A.] Royal Flying Doctor Serv, Cairns, Qld, Australia; [Ayton, Jeff] Australian Antarctic Div, Polar Med Unit, Hobart, Tas, Australia; [Ross, Victoria] Joint Hlth Support Agcy, Dept Def, Canberra, ACT, Australia; [Chalmers, Elizabeth] Flinders Univ S Australia, Ctr Remote Hlth, Katherine, NT, Australia; [Giddings, Patrick] Remote Vocat Training Scheme, Albury, NSW, Australia; [Baker, Louise] Remote Vocat Training Scheme, Cowra, NSW, Australia; [Kelly, Martin; Love, Catherine] Remote Vocat Training Scheme, Alice Springs, NT, Australia</t>
  </si>
  <si>
    <t>James Cook University; Australian Antarctic Division; Defence Australia; Defence Science &amp; Technology; Flinders University South Australia; Centre for Remote Health - Alice Springs</t>
  </si>
  <si>
    <t>Smith, JD (corresponding author), RhED Consulting Pty Ltd, Ocean Shores, NSW, Australia.</t>
  </si>
  <si>
    <t>janie.dadesmith@bigpond.com</t>
  </si>
  <si>
    <t>Margolis, Stephen A/G-7541-2011</t>
  </si>
  <si>
    <t>Baker, Louise/0000-0003-0716-6161; Ayton, Jeffrey/0000-0003-4012-6719; Smith, Janie Dade/0000-0001-9208-4982</t>
  </si>
  <si>
    <t>AUSTRALASIAN MED PUBL CO LTD</t>
  </si>
  <si>
    <t>PYRMONT</t>
  </si>
  <si>
    <t>LEVEL 2, 26-32 PYRMONT BRIDGE RD, PYRMONT, NSW 2009, AUSTRALIA</t>
  </si>
  <si>
    <t>0025-729X</t>
  </si>
  <si>
    <t>MED J AUSTRALIA</t>
  </si>
  <si>
    <t>Med. J. Aust.</t>
  </si>
  <si>
    <t>FEB 4</t>
  </si>
  <si>
    <t>10.5694/j.1326-5377.2008.tb01561.x</t>
  </si>
  <si>
    <t>Medicine, General &amp; Internal</t>
  </si>
  <si>
    <t>General &amp; Internal Medicine</t>
  </si>
  <si>
    <t>301RZ</t>
  </si>
  <si>
    <t>WOS:000255914600011</t>
  </si>
  <si>
    <t>Carrying capacity</t>
  </si>
  <si>
    <t>FEB</t>
  </si>
  <si>
    <t>10.1017/S0954102008000989</t>
  </si>
  <si>
    <t>262UL</t>
  </si>
  <si>
    <t>WOS:000253173400001</t>
  </si>
  <si>
    <t>Barber-Meyer, SM; Kooyman, GL; Ponganis, PJ</t>
  </si>
  <si>
    <t>Barber-Meyer, S. M.; Kooyman, G. L.; Ponganis, P. J.</t>
  </si>
  <si>
    <t>Trends in western Ross Sea emperor penguin chick abundances and their relationships to climate</t>
  </si>
  <si>
    <t>Antarctica; Aptenodytes forsteri; climate change; population trends; sea ice extent; sea surface temperature</t>
  </si>
  <si>
    <t>SOUTHERN-OCEAN CLIMATE; FLIPPER-BANDS; ICE EXTENT; APTENODYTES-FORSTERI; FORAGING BEHAVIOR; ADELIE; VARIABILITY; ANTARCTICA; DYNAMICS; COLONIES</t>
  </si>
  <si>
    <t>The emperor penguin (Aptenodytes forsteri) is extremely dependent on the extent and stability of sea ice, which may make the species particularly susceptible to environmental change. In order to appraise the stability of the emperor penguin populations at six colonies in the western Ross Sea, we used linear regression analysis to evaluate chick abundance trends (1983-2005) and Pearson's r correlation to assess their relation to two local and two large-scale climate variables. We detected only one significant abundance trend; the Cape Roget colony increased from 1983 to 1996 (n = 6). Higher coefficients of variation in chick abundances at smaller colonies (Cape Crozier, Beaufort Island, Franklin Island) suggest that such colonies occupy marginal habitat, and are more susceptible to environmental change. We determined chick abundance to be most often correlated with local Ross Sea climate variables (sea ice extent and sea surface temperature), but not in consistent patterns across the colonies. We propose that chick abundance is most impacted by fine scale sea ice extent and local weather events, which are best evaluated by on-site assessments. We did not find sufficient evidence to reject the hypothesis that the overall emperor penguin population in the Ross Sea was stable during this period.</t>
  </si>
  <si>
    <t>[Barber-Meyer, S. M.; Kooyman, G. L.; Ponganis, P. J.] Ctr Marine Biotechnol &amp; Biomed, Scripps Inst Oceanog, La Jolla, CA 92093 USA</t>
  </si>
  <si>
    <t>Barber-Meyer, SM (corresponding author), Ctr Marine Biotechnol &amp; Biomed, Scripps Inst Oceanog, Scholander Hall 9500 Gilman Dr 0204, La Jolla, CA 92093 USA.</t>
  </si>
  <si>
    <t>shannonbarbermeyer@gmail.com</t>
  </si>
  <si>
    <t>, gerald/0000-0002-8872-2950; Barber-Meyer, Shannon/0000-0002-3048-2616</t>
  </si>
  <si>
    <t>10.1017/S0954102007000673</t>
  </si>
  <si>
    <t>WOS:000253173400002</t>
  </si>
  <si>
    <t>Wulff, A; Zacher, K; Hanelt, D; Al-Handal, A; Wiencke, C</t>
  </si>
  <si>
    <t>Wulff, Angela; Zacher, Katharina; Hanelt, Dieter; Al-Handal, Adil; Wiencke, Christian</t>
  </si>
  <si>
    <t>UV radiation - a threat to Antarctic benthic marine diatoms?</t>
  </si>
  <si>
    <t>microalgae; microphytobenthos; PE curve; PSII maximum efficiency; UV-A; UV-B</t>
  </si>
  <si>
    <t>PHOTOSYNTHETIC ELECTRON-TRANSPORT; ULTRAVIOLET-B RADIATION; PHYTOPLANKTON; MICROPHYTOBENTHOS; RESPONSES; BIOMASS; LIGHT; PRODUCTIVITY; FLUORESCENCE; ACCLIMATION</t>
  </si>
  <si>
    <t>This investigation was motivated by the lack of ultraviolet radiation (UVR, 280-400 nm) studies on Antarctic benthic marine microalgae. The objective was to estimate the impact of UV-B (280-315 nm) and UV-A (315-400 nm), on photosynthetic efficiency, species composition, cell density and specific growth rate in a semi-natural soft-bottom diatom community. In both experiments, cell density increased over time. The most frequently observed species were Navicula cancellata, Cylindrotheca closterium, Nitzschia spp., and Petroneis plagiostoma. For both experiments, a shift in species composition and a decreased photosystem II (PSII) maximum efficiency (F(v)/F(m)) over time was observed, irrespective of treatment. UVR significantly reduced F(v)/F(m) on days 3 and 10 (Expt 1), disappearing on the last sampling date. A similar trend was found in Expt 2. A significant UV effect on cell density was observed in Expt 1 (day 10) but not in Expt 2. No treatment effects on species composition or specific growth rate were found. Thus, the UV effects were transient (photosynthetic efficiency and cell density) and the growth of the benthic diatoms was generally unaffected. Overall, according to our results, UVR does not seem to be a threat to benthic marine Antarctic diatoms.</t>
  </si>
  <si>
    <t>[Wulff, Angela; Al-Handal, Adil] Univ Gothenburg, Dept Marine Ecol, SE-40530 Gothenburg, Sweden; [Zacher, Katharina; Wiencke, Christian] Alfred Wegener Inst Polar &amp; Marine Res, D-27570 Bremerhaven, Germany; [Hanelt, Dieter] Univ Hamburg, Biozentrum Klein Flottbek, D-22609 Hamburg, Germany</t>
  </si>
  <si>
    <t>University of Gothenburg; Helmholtz Association; Alfred Wegener Institute, Helmholtz Centre for Polar &amp; Marine Research; University of Hamburg</t>
  </si>
  <si>
    <t>Wulff, A (corresponding author), Univ Gothenburg, Dept Marine Ecol, POB 461, SE-40530 Gothenburg, Sweden.</t>
  </si>
  <si>
    <t>angela.wulff@marecol.gu.se</t>
  </si>
  <si>
    <t>Hanelt, Dieter/E-6659-2017; Al-Handal, Adil/ABH-1754-2021</t>
  </si>
  <si>
    <t>10.1017/S0954102007000739</t>
  </si>
  <si>
    <t>WOS:000253173400003</t>
  </si>
  <si>
    <t>Thorn, VC</t>
  </si>
  <si>
    <t>Thorn, Vanessa C.</t>
  </si>
  <si>
    <t>New Zealand sub-Antarctic phytoliths and their potential for past vegetation reconstruction</t>
  </si>
  <si>
    <t>Antarctica; Campbell Island; palaeoecology; phytoliths</t>
  </si>
  <si>
    <t>TONGARIRO-NATIONAL-PARK; CAMPBELL ISLAND; POLLEN; OCEAN; CLIMATE; PATTERN; AGE</t>
  </si>
  <si>
    <t>Phytoliths in the modem vegetation of sub-Antarctic Campbell Island are compared with those in the soil beneath to assess the accuracy of vegetation reconstructions made from dispersed phytolith assemblages. The soil phytoliths alone suggest the source vegetation is a grassland association for all study sites, which reflects none of the herb, fern or shrub component of the overlying vegetation. It is concluded that at this locality dispersed phytoliths on their own are not reliable indicators of source vegetation and should be used with caution in this context for palaeoecological studies. However, they can provide useful botanical information where all other organic material is absent. With further research, based on the abundance and diversity of Poaceae phytoliths observed in this and other studies, dispersed phytoliths from the fossil record have the potential to contribute significantly to the understanding of grassland ecosystem development in the geological past.</t>
  </si>
  <si>
    <t>Univ Leeds, Sch Earth &amp; Environm, Leeds LS2 9JT, W Yorkshire, England</t>
  </si>
  <si>
    <t>University of Leeds</t>
  </si>
  <si>
    <t>Thorn, VC (corresponding author), Univ Leeds, Sch Earth &amp; Environm, Leeds LS2 9JT, W Yorkshire, England.</t>
  </si>
  <si>
    <t>v.thorn@see.leeds.ac.uk</t>
  </si>
  <si>
    <t>Bowman, Vanessa/0000-0002-4887-3949</t>
  </si>
  <si>
    <t>10.1017/S0954102007000727</t>
  </si>
  <si>
    <t>WOS:000253173400004</t>
  </si>
  <si>
    <t>Park, H; Ahn, IY; Choi, HJ; Ji, JY</t>
  </si>
  <si>
    <t>Park, Hyun; Ahn, In-Young; Choi, Heeseon J.; Ji, Jung Youn</t>
  </si>
  <si>
    <t>Isolation and spectral characterization of cadmium binding metallothionein</t>
  </si>
  <si>
    <t>Antarctic; bivalves; Cd-thiolate complex; Laternula; MTs; purification</t>
  </si>
  <si>
    <t>MESSENGER-RNA ACCUMULATION; LATERNULA-ELLIPTICA; ANTARCTIC CLAM; EXPRESSION; PURIFICATION; CHALLENGE; PROTEIN; DNA; CD</t>
  </si>
  <si>
    <t>A cadmium (Cd)-binding protein was isolated and characterized from the Antarctic clam Laternula elliptica after experimental exposure to a high concentration of Cd. Cd-binding metallothioneins (MTs) in the cytosol were purified using a procedure based on gel permeation and ion-exchange chromatography. The purified MTs were recognized by MT antibodies in a Western blotting assay. MALDI-TOF MS analyses showed that the molecular mass of the purified MTs was 7.27 kDa, which is typical of MTs found in marine invertebrates. The Cd binding to MT, reflected by the redistribution of Cd ions, was monitored by spectrophotometry. The absorption spectra profiles indicated the presence of Cd-MT complexes, and a 4 nm red shift of the unresolved lowest energy-absorption band occurred when five equivalents of Cd (II) were incorporated.</t>
  </si>
  <si>
    <t>[Park, Hyun; Ahn, In-Young; Choi, Heeseon J.; Ji, Jung Youn] Korea Ocean Res &amp; Dev Inst, Korea Polar Res Inst, Inchon 406840, South Korea</t>
  </si>
  <si>
    <t>Park, H (corresponding author), Korea Ocean Res &amp; Dev Inst, Korea Polar Res Inst, Songdo Dong 7-50, Inchon 406840, South Korea.</t>
  </si>
  <si>
    <t>hpark@kopri.re.kr</t>
  </si>
  <si>
    <t>Park, Hyun/0000-0002-8055-2010</t>
  </si>
  <si>
    <t>10.1017/S0954102007000806</t>
  </si>
  <si>
    <t>WOS:000253173400005</t>
  </si>
  <si>
    <t>Grotti, M; Soggia, F; Lagomarsino, C; Rivai, SD; Goessler, W; Francesconi, KA</t>
  </si>
  <si>
    <t>Grotti, Marco; Soggia, Francesco; Lagomarsino, Cristina; Rivai, Simona Dalla; Goessler, Walter; Francesconi, Kevin A.</t>
  </si>
  <si>
    <t>Natural variability and distribution of trace elements in marine organisms from Antarctic coastal environments</t>
  </si>
  <si>
    <t>Cape Evans; Laternula; metals; Odontaster; Phyllophora; Ross Sea; Terra Nova Bay</t>
  </si>
  <si>
    <t>TERRA-NOVA BAY; KING-GEORGE ISLAND; HEAVY-METALS; ROSS SEA; LATERNULA-ELLIPTICA; ADAMUSSIUM-COLBECKI; ZINC CONCENTRATIONS; SEDIMENTS; PB; CD</t>
  </si>
  <si>
    <t>In an attempt to improve the understanding of the natural variability and distribution of trace elements in Antarctic organisms, the concentrations of arsenic, cadmium, cobalt, chromium, copper, manganese, nickel, vanadium and zinc in representative benthic species from two pristine coastal environments were measured and compared with literature data for other uncontaminated coastal ecosystems. Correlations between the elements, differences between the species and between the sampling sites were examined by principal component analysis. Metal accumulation was particularly evident in the tissues of the sea star Odontaster validus, the bivalve mollusc Laternula elliptica and in the red alga Phyllophora antarctica. However, metal accumulation was not the same for all the analytes, but, rather, depended on the organism characteristics. In particular, the soft tissues of Odontaster validus were characterized by high concentrations of cadmium, zinc and copper, those of Phyllophora antarctica by high concentrations of manganese and nickel, and the tissues of Laternula elliptica by high concentrations of all measured elements, particularly in its digestive gland. The Antarctic data as well as those reported for other pristine coastal ecosystems showed remarkably high natural variability in metal content, which must be taken into account when interpreting results from biomonitoring programmes.</t>
  </si>
  <si>
    <t>[Grotti, Marco; Soggia, Francesco; Lagomarsino, Cristina; Rivai, Simona Dalla] Univ Genoa, Dept Chem &amp; Ind Chem, I-16146 Genoa, Italy; [Goessler, Walter; Francesconi, Kevin A.] Karl Franzens Univ Graz, Inst Chem Analyt Chem, A-8010 Graz, Austria</t>
  </si>
  <si>
    <t>University of Genoa; University of Graz</t>
  </si>
  <si>
    <t>Grotti, M (corresponding author), Univ Genoa, Dept Chem &amp; Ind Chem, Via Dodecaneso 31, I-16146 Genoa, Italy.</t>
  </si>
  <si>
    <t>grotti@chimica.unige.it</t>
  </si>
  <si>
    <t>Grotti, Marco/HGU-3949-2022; Goessler, Walter/A-1084-2016</t>
  </si>
  <si>
    <t>Grotti, Marco/0000-0001-6956-5761; Goessler, Walter/0000-0002-0142-9373</t>
  </si>
  <si>
    <t>10.1017/S0954102007000831</t>
  </si>
  <si>
    <t>WOS:000253173400006</t>
  </si>
  <si>
    <t>Sewell, MA; Van Dijken, SG; Suberg, L</t>
  </si>
  <si>
    <t>Sewell, Mary A.; Van Dijken, Schannel G.; Suberg, Lavinia</t>
  </si>
  <si>
    <t>The cryopelagic meroplankton community in the shallow waters of Gerlache Inlet, Terra Nova Bay, Antarctica</t>
  </si>
  <si>
    <t>embryos; larvae; plankton; Ross Sea; under sea ice</t>
  </si>
  <si>
    <t>SEA-URCHIN EMBRYOS; ULTRAVIOLET-RADIATION; ROSS SEA; LARVAE; REPRODUCTION; SEASONALITY; ABUNDANCE</t>
  </si>
  <si>
    <t>Limited sampling has so far been conducted of the meroplankton community of the high Antarctic, with most research being conducted using vertical hauls in waters &gt; 50 m, and little focused research on the meroplankton community directly under the sea ice (cryopelagic). Here we report the composition of the early summer cryopelagic meroplankton community of the shallow waters of Gerlache Inlet, Terra Nova Bay. A fixed-frame stationary plankton net was deployed c. 1 m below the annual sea ice and sampled at c. 24 hour intervals over a period of 19 days from mid-November to early December 2006. A total of 173 larvae from the phyla Annelida (n = 66), Mollusca (n = 30), Nemertea (n = 4), Echinodermata (n = 8), several Pleuragramma antarcticum (n = 4) and numerous planulae (n = 61) were collected, as well as 265 egg/embryo stages. A mean of 9.1 larvae (SD = 7.3, n = 19) and 13.9 eggs/embryos (SD = 20.5, n = 19) were found directly below the sea ice in each 24 hour period, and these early life history stages may be subject to the hazards of extensive platelet ice and penetrating ultraviolet radiation. The cryopelagic meroplankton community of shallow water is also compositionally similar to that of deeper waters, suggesting that the 50-0 m plankton tows used in previous research are providing a reliable assessment of the biodiversity of coastal Antarctic meroplankton.</t>
  </si>
  <si>
    <t>[Sewell, Mary A.; Van Dijken, Schannel G.; Suberg, Lavinia] Univ Auckland, Sch Biol Sci, Auckland 1142, New Zealand</t>
  </si>
  <si>
    <t>University of Auckland</t>
  </si>
  <si>
    <t>Sewell, MA (corresponding author), Univ Auckland, Sch Biol Sci, Private Bag 92019, Auckland 1142, New Zealand.</t>
  </si>
  <si>
    <t>m.sewell@auckland.ac.nz</t>
  </si>
  <si>
    <t>Sewell, Mary A/C-9017-2009</t>
  </si>
  <si>
    <t>Sewell, Mary A/0000-0002-1595-7951</t>
  </si>
  <si>
    <t>10.1017/S0954102007000843</t>
  </si>
  <si>
    <t>WOS:000253173400007</t>
  </si>
  <si>
    <t>Elliott, C</t>
  </si>
  <si>
    <t>Elliott, Christine</t>
  </si>
  <si>
    <t>Influence of temperature and moisture availability on physical rock weathering along the Victoria Land coast, Antarctica</t>
  </si>
  <si>
    <t>freeze-thaw; Granite Harbour Intrusives; laboratory simulations; Latitudinal Gradient Project; rock characteristics</t>
  </si>
  <si>
    <t>ENVIRONMENT; ECOSYSTEM</t>
  </si>
  <si>
    <t>Rock weathering plays an important role in soil development. A better understanding of how different temperature and moisture regimes impact on the rates of rock breakdown can thus contribute to our knowledge of how rates of soil production might be affected by changes in climate. Laboratory simulations using two temperature cycles determined from field data and three moisture levels were carried out on samples of granite from three locations along the Victoria Land coast. Estimates of weathering rate from these experiments were of the same order of magnitude as some other more field based studies undertaken in similar environments. However, actual values for samples from the three locations varied depending on the specific characteristics of the rock, especially grain size, porosity and extent of microcracking. Moisture availability was found to be an important factor in determining weight loss in the samples from Gneiss Point but not in those from Terra Nova Bay or Teall Island with the moderate level of moisture application having the greatest impact. Spring/autumn temperature cycles had a different effect on the breakdown of the rock samples compared to summer cycles but the magnitude of the effect was dependent on moisture level and rock characteristics, especially quartz content and the ability to absorb heat and moisture. The samples of rock from Terra Nova Bay and Gneiss Point where no moisture had been applied had significantly higher rates of breakdown under spring/autumn cycles than summer ones. However, this effect was reversed in the Gneiss Point samples after moisture was added. A future climate scenario using the weathering rates found in this research where there was, for example, a 10% increase in summer temperature cycles and a corresponding decrease in spring/autumn cycles predicted that a reduction in weathering would occur in conditions of little or no precipitation at Terra Nova Bay and Gneiss Point but there would be limited effect under higher levels of moisture.</t>
  </si>
  <si>
    <t>Univ Canterbury, Dept Geog, Christchurch 8140, New Zealand</t>
  </si>
  <si>
    <t>Elliott, C (corresponding author), Univ Canterbury, Dept Geog, Private Bag 4800, Christchurch 8140, New Zealand.</t>
  </si>
  <si>
    <t>christine.elliott@canterbury.ac.nz</t>
  </si>
  <si>
    <t>10.1017/S0954102007000685</t>
  </si>
  <si>
    <t>WOS:000253173400008</t>
  </si>
  <si>
    <t>Heroy, DC; Sjunneskog, C; Anderson, JB</t>
  </si>
  <si>
    <t>Heroy, David C.; Sjunneskog, Charlotte; Anderson, John B.</t>
  </si>
  <si>
    <t>Holocene climate change in the Bransfield Basin, Antarctic Peninsula: evidence from sediment and diatom analysis</t>
  </si>
  <si>
    <t>climatic optimum; glacial; glaciomarine sediment; Neoglacial; tephra</t>
  </si>
  <si>
    <t>GLACIAL GEOMORPHIC FEATURES; SOUTHERN-OCEAN SEDIMENTS; SEA-FLOOR EVIDENCE; ICE-SHEET SYSTEM; WESTERN ROSS-SEA; PALMER-DEEP; CONTINENTAL-SHELF; SURFACE SEDIMENTS; WEDDELL SEA; MARINE-SEDIMENTS</t>
  </si>
  <si>
    <t>We present the first study from the Bransfield Basin that extends through the Holocene, recording the variable climate history back to the decoupling of the ice sheet from the continental shelf similar to 10 650 calendar years before present (cal yr BP). Detailed sediment analysis reveals three stratigraphic units in PC-61 concomitant with three sedimentary environments, similar to sedimentary facies reported elsewhere: 1) subglacial, 2) glacial proximal/sub-ice shelf, and 3) open marine. These interpretations are based on a variety of sedimentological criteria, supported by ten AMS radiocarbon dates and detailed diatom analysis. We note two significant volcanic ash layers (tephra) at 3870 and 5500 cal yr BP from nearby Deception Island. Based on diatom assemblage analysis, we identify five separate climate regimes, highlighting a significantly shorter Mid-Holocene Climatic Optimum than reported by other studies (6800-5900 cal yr Bp). This period is marked by the highest Eucampia antarctica var. antarctica and Fragilariopsis curta abundance, total diatom abundance, sediment accumulation rates, and low magnetic susceptibility. We also identify a less pronounced Neoglacial period relative to other studies, which includes an increase of Cocconeis/Rhizosolenia spp. assemblage related to unstable surface water conditions. Such observations probably reflect important regional variations in atmospheric or ocean circulation patterns.</t>
  </si>
  <si>
    <t>[Heroy, David C.; Anderson, John B.] Rice Univ, Dept Earth Sci, Houston, TX 77251 USA; [Sjunneskog, Charlotte] No Illinois Univ, Dept Geol &amp; Environm Geosci, De Kalb, IL 60115 USA</t>
  </si>
  <si>
    <t>Rice University; Northern Illinois University</t>
  </si>
  <si>
    <t>Heroy, DC (corresponding author), Rice Univ, Dept Earth Sci, MS 126 POB 1892, Houston, TX 77251 USA.</t>
  </si>
  <si>
    <t>davidheroy@gmail.com</t>
  </si>
  <si>
    <t>10.1017/S0954102007000788</t>
  </si>
  <si>
    <t>WOS:000253173400009</t>
  </si>
  <si>
    <t>Oberholzer, P; Baroni, C; Salvatore, MC; Baur, H; Wieler, R</t>
  </si>
  <si>
    <t>Oberholzer, P.; Baroni, C.; Salvatore, M. C.; Baur, H.; Wieler, R.</t>
  </si>
  <si>
    <t>Dating late Cenozoic erosional surfaces in Victoria Land, Antarctica, with cosmogenic neon in pyroxenes</t>
  </si>
  <si>
    <t>Antarctic tors; East Antarctic Ice Sheet; Mesa Range; noble gases; Prince Albert Mountains; surface exposure dating</t>
  </si>
  <si>
    <t>TRANSANTARCTIC MOUNTAINS; LANDSCAPE EVOLUTION; BEACON SUPERGROUP; MACKAY GLACIER; DRY VALLEYS; ICE; EXPOSURE; RANGE; NUCLIDES; HISTORY</t>
  </si>
  <si>
    <t>We present Ne-21 exposure ages of erosional glaciogenic rock surfaces on nunataks in northern Victoria Land, Antarctica: i) in the Prince Albert Mountains and ii) near Mesa Range. These nunataks are located directly at the margin of the polar plateau and therefore provide an immediate record of ice volume changes of the East Antarctic Ice Sheet, not biased by ice shelf grounding or narrow valley sections downstream the outlet glaciers. The sampling locations overlook the present ice surface by less than 200 m, but were last covered by ice 3.5 Ma BP (minimum age, not corrected for erosion). This strongly indicates that the ice sheet has not been substantially thicker than today since at least the early Pliocene, which supports the hypothesis of a stable East Antarctic Ice Sheet. First absolute ages are reported for the alpine topography above the erosive trimline that typically marks the upper limit of glacial activity in northern Victoria Land. Unexpectedly low nuclide concentrations suggest that erosion rates on the alpine topography are considerably higher due to the steep slopes than those affecting flat erosional surfaces carrying Antarctic tors.</t>
  </si>
  <si>
    <t>[Baroni, C.; Salvatore, M. C.] Univ Roma La Sapienza, Dipartimento Sci Terra, I-00185 Rome, Italy; [Oberholzer, P.; Baur, H.; Wieler, R.] ETH, Inst Isotope Geol &amp; Mineral Resources, CH-8092 Zurich, Switzerland; [Baroni, C.] Univ Pisa, Dipartimento Sci Terra, I-56126 Pisa, Italy</t>
  </si>
  <si>
    <t>Sapienza University Rome; Swiss Federal Institutes of Technology Domain; ETH Zurich; University of Pisa</t>
  </si>
  <si>
    <t>Oberholzer, P (corresponding author), Baugeol &amp; Geo Bau Labor Chur, Bolettastr 1, CH-7000 Chur, Switzerland.</t>
  </si>
  <si>
    <t>peter.oberholzer@tele2.ch</t>
  </si>
  <si>
    <t>Salvatore, Maria Cristina/AAS-4000-2020; Wieler, Rainer/A-1355-2010; Baroni, Carlo/D-8184-2012</t>
  </si>
  <si>
    <t>Salvatore, Maria Cristina/0000-0002-1590-7284; Baroni, Carlo/0000-0001-5905-4650; Wieler, Rainer/0000-0001-5666-7494</t>
  </si>
  <si>
    <t>10.1017/S095410200700079X</t>
  </si>
  <si>
    <t>Green Published, Green Submitted</t>
  </si>
  <si>
    <t>WOS:000253173400010</t>
  </si>
  <si>
    <t>Choi, T; Lee, BY; Kim, SJ; Yoon, YJ; Lee, HC</t>
  </si>
  <si>
    <t>Choi, Taejin; Lee, Bang Yong; Kim, Seong-Joong; Yoon, Young Jun; Lee, Hee-Choon</t>
  </si>
  <si>
    <t>Net radiation and turbulent energy exchanges over a non-glaciated coastal area on King George Island during four summer seasons</t>
  </si>
  <si>
    <t>Antarctic Peninsula; eddy covariance; net radiation; turbulent energy fluxes</t>
  </si>
  <si>
    <t>CLIMATE-CHANGE; ANTARCTIC SNOW; SURFACE; BALANCE; ICE</t>
  </si>
  <si>
    <t>Recently, the Antarctic Peninsula has received more attention due to the pronounced warming in that region. Non-glaciated coastal areas on the Peninsula can be significant energy sources for the atmosphere when they are exposed during summer despite the high degree of cloud associated with the frequent passage of low pressure systems. An eddy covariance system was established in December 2002 to evaluate the turbulent energy exchanges between the atmosphere and a non-glaciated coastal area on King George Island. Monthly average downward shortwave radiation was less than 210 Wm(-2) in summer. Due to the low albedo of 0.12, monthly average net radiation reached &gt; 130 Wm(-2), a magnitude that was significantly larger than the reported magnitudes of &lt; similar to 70 Wm(-2) at glaciated areas with a high albedo, on the Peninsula. The sum of monthly average sensible heat (&lt; 64 Wm(-2)) and latent heat (&lt; 20 Wm(-2)) fluxes amounted up to similar to 80 Wm(-2), which was an order of magnitude larger than those at glaciated areas on the Antarctic Peninsula. Given that non-glaciated areas should be enlarged if the warming continues, more attention may need to be paid to the role of non-glaciated areas in the local climate to predict climate change on the Antarctic Peninsula.</t>
  </si>
  <si>
    <t>[Choi, Taejin; Lee, Bang Yong; Kim, Seong-Joong; Yoon, Young Jun] KORDI, Korea Polar Res Inst, Inchon 406840, South Korea; [Lee, Hee-Choon] KMA, METRI, Forecast Res Lab, Seoul 156720, South Korea</t>
  </si>
  <si>
    <t>Korea Institute of Ocean Science &amp; Technology (KIOST); Korea Polar Research Institute (KOPRI)</t>
  </si>
  <si>
    <t>Lee, BY (corresponding author), KORDI, Korea Polar Res Inst, Inchon 406840, South Korea.</t>
  </si>
  <si>
    <t>bylee@kopri.re.kr</t>
  </si>
  <si>
    <t>10.1017/S095410200700082X</t>
  </si>
  <si>
    <t>WOS:000253173400011</t>
  </si>
  <si>
    <t>Andrews, JT; Hardardóttir, J; Stoner, JS; Principato, SM</t>
  </si>
  <si>
    <t>Andrews, J. T.; Hardardottir, J.; Stoner, J. S.; Principato, S. M.</t>
  </si>
  <si>
    <t>Holocene sediment magnetic properties along a transect from Isafiardardiup to Djupall, Northwest Iceland</t>
  </si>
  <si>
    <t>LATE QUATERNARY; CLIMATE VARIABILITY; NORTHERN ICELAND; ICE EXTENT; RECORD; CORE; MARINE; SHELF; SEA; DEGLACIATION</t>
  </si>
  <si>
    <t>Holocene changes in terrestrial provenance and processes of sediment transport and deposition are tracked along a fjord-to-shelf transect adjacent to Vestfirdir, Iceland, using the magnetic properties of marine sediments. Magnetic susceptibility (MS) profiles of 10 cores (gravity and piston) were obtained onboard using a Bartington NIS loop. Remanent magnetizations were measured at 1-cm intervals from u-channel samples taken from six cores on a cryogenic magnetometer. Between six and nine alternating field demagnetization steps were used to isolate the characteristic magnetization directions. The chronologies of the cores used in this study were determined from AMS 14 C dates on mollusks and foraminifera and constrained by the regional occurrence of the 10,200 +/- 60 cat yr. BP Saksunarvatn tephra. Correlative fluctuations in magnetic concentration are noted between the fjord and shelf sites, though these fluctuations are partially masked by regional variations in carbonate content. The onset of Neoglaciation is interpreted by changes in magnetic properties including an increase in mass magnetic susceptibility that began approximately 3000 cat yr. BP. The maximum angular deviation and the median destructive field (generally &lt;20 mT) suggest that the natural remanent magnetization is carried by a coarse ferrimagnetite mineralogy, likely magnetite or titano-magnetite. Reproducible paleomagnetic inclination values are observed in several records, including a nearly vertical inclination around 8000 cat yr. BP, suggesting that the magnetic pole may have been proximal to Iceland, followed by an interval of much shallower inclination (6000-7000 cat yr. BP).</t>
  </si>
  <si>
    <t>[Andrews, J. T.] Univ Colorado, Dept Geol Sci, INSTAAR, Boulder, CO 80309 USA; [Hardardottir, J.] Natl Energy Authority, Hydrol Serv, IS-108 Reykjavik, Iceland; [Stoner, J. S.] Oregon State Univ, Coll Ocean &amp; Atmosphere Sci, Corvallis, OR 97331 USA; [Principato, S. M.] Gettysburg Coll, Dept Environm Studies, Gettysburg, PA 17325 USA</t>
  </si>
  <si>
    <t>University of Colorado System; University of Colorado Boulder; Oregon State University; Gettysburg College</t>
  </si>
  <si>
    <t>Andrews, JT (corresponding author), Univ Colorado, Dept Geol Sci, INSTAAR, Boulder, CO 80309 USA.</t>
  </si>
  <si>
    <t>John.T.Andrews@colorado.edu</t>
  </si>
  <si>
    <t>10.1657/1523-0430(05-072)[ANDREWS]2.0.CO;2</t>
  </si>
  <si>
    <t>258LI</t>
  </si>
  <si>
    <t>WOS:000252869000001</t>
  </si>
  <si>
    <t>Benedict, JB</t>
  </si>
  <si>
    <t>Benedict, James B.</t>
  </si>
  <si>
    <t>Experiments on lichen growth, III. The shape of the age-size curve</t>
  </si>
  <si>
    <t>RHIZOCARPON-GEOGRAPHICUM; RADIAL GROWTH; PARMELIA-CONSPERSA; BRITISH-COLUMBIA; CASCADE RANGE; NEW-ZEALAND; SNOW-COVER; THALLI; GLACIER; SUPERFICIALE</t>
  </si>
  <si>
    <t>A field experiment was conducted in the Front Range of the Colorado Rocky Mountains to test the hypothesis that lichen age-size curves differ in shape because an inherently sigmoidal growth pattern is interrupted at different stages in its development by a linear growth phase. Large, circular thalli of three morphologically dissimilar species were studied on smooth rock surfaces. Thallus interiors were removed with a knife and wire brush, creating curved wedges of lichen tissue. Distances from reference marks to the unmodified outer margins of the thalli were measured at various wedge widths. Measurements were repeated after 2-16 years, depending upon species. As predicted by the hypothesis, radial growth of Xanthoparmelia coloradoensis and Lecanora novomexicana accelerated with increasing wedge width, becoming linear at average rates of 2.01 and 0.12 mm yr(-1), respectively. Radial growth of Rhizocarpon superficiale accelerated to a maximum average rate of 0.016 mm yr(-1), then slowed, defining a more complete sigmoidal curve. This species showed no evidence of a linear growth phase, either because none exists or because the wedges were too narrow to detect it. The margins of R. superficiale thalli alternately advance and retreat due to changes in moisture availability and differences in photosynthate production within outer rings of areolate tissue. Hypothalli and areolae grow independently of each other over the short term, though their long-term growth rates must necessarily be similar. The data suggest that areolate crustose lichens are fundamentally different from foliose and placodioid lichens, and that inferences based on one group should not necessarily be extrapolated to another.</t>
  </si>
  <si>
    <t>[Benedict, James B.] Ctr Mt Archeol, Ward, CO 80481 USA</t>
  </si>
  <si>
    <t>Benedict, JB (corresponding author), Ctr Mt Archeol, 8297 Overland Rd, Ward, CO 80481 USA.</t>
  </si>
  <si>
    <t>10.1657/1523-0430(06-030)[BENEDICT]2.0.CO;2</t>
  </si>
  <si>
    <t>WOS:000252869000002</t>
  </si>
  <si>
    <t>Borner, AP; Kielland, K; Walker, MD</t>
  </si>
  <si>
    <t>Borner, Andrew P.; Kielland, Knut; Walker, Marilyn D.</t>
  </si>
  <si>
    <t>Effects of simulated climate change on plant phenology and nitrogen mineralization in Alaskan arctic Tundra</t>
  </si>
  <si>
    <t>LONG-TERM; MICROBIAL ACTIVITY; CARBON STORAGE; CO2 EFFLUX; SNOW; TEMPERATURE; VEGETATION; RESPONSES; WINTER; SOILS</t>
  </si>
  <si>
    <t>This study was part of the International Tundra Experiment (ITEX) and examined the effects of increased winter snow depth and decreased growing season length on the phenology of four arctic plant species (Betula nana, Salix pulchra, Eriophorum vaginatum, and Vaccinium vitis-idaea) and seasonal nitrogen availability in arctic snowbed communities. Increased snow depth had a large effect on the temporal pattern of first date snow-free in spring, bud break, and flowering, but did not affect the rate of plant development. By contrast, snow depth had a large qualitative effect on N mineralization in deep snow zones, causing a shift in the timing and amount of N mineralized compared to ambient snow zones. Nitrogen mineralization in deep snow zones occurred mainly overwinter, whereas N mineralization in ambient snow zones occurred mainly in spring. Concentrations of soil dissolved organic nitrogen (DON) were approximately 5 times greater than concentrations of inorganic nitrogen (DIN) and did not vary significantly over the season. Projected increases in the depth and duration of snow cover in arctic plant communities will likely have minor effects on the rate of plant phenological development, but potentially large effects on patterns of N cycling.</t>
  </si>
  <si>
    <t>[Borner, Andrew P.; Kielland, Knut] Univ Alaska, Inst Arctic Biol, Fairbanks, AK 99775 USA</t>
  </si>
  <si>
    <t>University of Alaska System; University of Alaska Fairbanks</t>
  </si>
  <si>
    <t>Kielland, K (corresponding author), Univ Alaska, Inst Arctic Biol, Fairbanks, AK 99775 USA.</t>
  </si>
  <si>
    <t>ffkk@uaf.edu</t>
  </si>
  <si>
    <t>10.1657/1523-0430(06-099)[BORNER]2.0.CO;2</t>
  </si>
  <si>
    <t>WOS:000252869000003</t>
  </si>
  <si>
    <t>Carlson, ML; Gisler, SD; Kelso, S</t>
  </si>
  <si>
    <t>Carlson, Matthew L.; Gisler, Steven D.; Kelso, Sylvia</t>
  </si>
  <si>
    <t>The role of reproductive assurance in the arctic: A comparative study of a homostylous and distylous species pair</t>
  </si>
  <si>
    <t>PRIMULA-VULGARIS; POLLEN FLOW; SELF-FERTILIZATION; SMALL POPULATIONS; BREEDING SYSTEMS; EVOLUTION; SIEBOLDII; PATTERNS; SUCCESS; ELATIOR</t>
  </si>
  <si>
    <t>Pollinator-dependent reproductive systems are predicted to be disadvantageous in the Arctic due to the unreliability of pollinator services. Observations in northwestern Alaska appear to support this prediction, where the common Primula eximia possesses reproductive assurance through homostyly and is outpacing the reproduction of its rare, distylous, and pollinator-dependent congener, P. tschuktschorum. We examined the reproductive ecology of these two taxa to determine if P. tschuktschorum is fully distylous with self and intramorph incompatibility, if P. eximia is homostylous with an advantage in fecundity over the rare species, and if there are reproductive interactions between the species. Our results indicate that while P. tschuktschorum is morphologically distylous, it displays only weak incompatibility reactions, but nonetheless has significant reproductive limitations relative to the fecundity of P. eximia, especially in the face of herbivory, which reduces the pool of compatible mates. Some hybridization is occurring between the species. These results support previous suggestions that reproductive assurance may be an important factor limiting the distribution of distyly where pollinator service is unreliable. Homostylous species are likely to be more successful and outcompete distylous progenitors, and selection pressures for reproductive assurance may lessen strong self and intramorph incompatibility reactions in distylous species.</t>
  </si>
  <si>
    <t>[Carlson, Matthew L.] Univ Alaska, Environm &amp; Nat Resources Inst, Alaska Nat Heritage Program, Anchorage, AK 99501 USA; [Gisler, Steven D.] Inst Appl Ecol, Corvallis, OR 97333 USA; [Kelso, Sylvia] Colorado Coll, Dept Biol, Colorado Springs, CO 80903 USA</t>
  </si>
  <si>
    <t>University of Alaska System; University of Alaska Anchorage; Colorado College</t>
  </si>
  <si>
    <t>Carlson, ML (corresponding author), Univ Alaska, Environm &amp; Nat Resources Inst, Alaska Nat Heritage Program, 707A St, Anchorage, AK 99501 USA.</t>
  </si>
  <si>
    <t>afmlc2@uaa.alaska.edu; Steven.GISLER@odot.state.or.us</t>
  </si>
  <si>
    <t>10.1657/1523-0430(06-080)[CARLSON]2.0.CO;2</t>
  </si>
  <si>
    <t>WOS:000252869000004</t>
  </si>
  <si>
    <t>Cebrian, MR; Kielland, K; Finstad, G</t>
  </si>
  <si>
    <t>Cebrian, Merben R.; Kielland, Knut; Finstad, Greg</t>
  </si>
  <si>
    <t>Forage quality and reindeer productivity: Multiplier effects amplified by climate change</t>
  </si>
  <si>
    <t>ERIOPHORUM-VAGINATUM; FEMALE CARIBOU; GROWTH; PHENOLOGY; PLANTS; SNOW; PERFORMANCE; RESPONSES; TARANDUS; DEER</t>
  </si>
  <si>
    <t>We investigated the effects of experimental manipulations of snowmelt on the flowering phenology and forage chemistry (digestibility and nitrogen concentration) of tussock cottongrass (Eriophorum vaginatum) on the Seward Peninsula, Alaska. Early snowmelt accelerated reproductive phenology by 11 days, and resulted in higher floral digestibility both early and late during inflorescence development. Nitrogen concentrations of inflorescences in late snowmelt plots were initially the highest among treatments, but decreased nearly 40% during inflorescence development. Thus, changes in climate that lead to changes in snow cover can alter both the timing of flowering and chemistry of Eriophorum and, consequently, its value as reindeer and caribou forage. We then used published relationships between forage chemistry and body weight gain of reindeer (White, 1983) to model the possible effects of altered forage chemistry on food intake and growth in reindeer. Model output shows that reindeer foraging on Eriophorum inflorescences may increase digestible dry matter intake twofold by selectively foraging on early-emergent inflorescences. The multiplicative effects of forage quality and food intake result in a near doubling in the rate of weight gain during this critical early spring period. Such increases in body weight gain have potentially great consequences for reindeer at both individual and population levels.</t>
  </si>
  <si>
    <t>[Kielland, Knut] Univ Alaska, Inst Arctic Biol, Fairbanks, AK 99775 USA; [Cebrian, Merben R.] US Fish &amp; Wildlife Serv, Tetlin Natl Wildlife Refuge, Tok, AK 99780 USA; [Finstad, Greg] Univ Alaska, Reindeer Res Program, Fairbanks, AK 99775 USA</t>
  </si>
  <si>
    <t>University of Alaska System; University of Alaska Fairbanks; United States Department of the Interior; US Fish &amp; Wildlife Service; University of Alaska System; University of Alaska Fairbanks</t>
  </si>
  <si>
    <t>ftkk@uaf.edu</t>
  </si>
  <si>
    <t>10.1657/1523-0430(06-073)[CEBRIAN]2.0.CO;2</t>
  </si>
  <si>
    <t>WOS:000252869000005</t>
  </si>
  <si>
    <t>Gardner, EM; McKnight, DM; Lewis, WM; Miller, MP</t>
  </si>
  <si>
    <t>Gardner, Eileen M.; McKnight, Diane M.; Lewis, William M., Jr.; Miller, Matthew P.</t>
  </si>
  <si>
    <t>Effects of nutrient enrichment on phytoplankton in an alpine lake, Colorado, USA</t>
  </si>
  <si>
    <t>ATMOSPHERIC NITROGEN DEPOSITION; WESTERN UNITED-STATES; MOUNTAIN LAKES; FRONT RANGE; ROCKY-MOUNTAINS; ECOSYSTEM RESPONSES; PARTICULATE NITRATE; SNOWY RANGE; COMMUNITY; DYNAMICS</t>
  </si>
  <si>
    <t>Deposition of atmospheric nitrogen from urban and agricultural sources has caused surface water nitrate concentrations to increase in the Front Range of the Colorado Rocky Mountains. To investigate the effects of sustained increases in nitrate concentrations on phytoplankton dynamics in an alpine lake, we conducted nutrient enrichment experiments in mesocosms amended with nitrate, phosphate, and phosphate plus nitrate on four dates in July and August 2002. During this period, phytoplankton species composition shifted as diatoms decreased in abundance. Phytoplankton chlorophyll a increased in the phosphate and phosphate plus nitrate enrichments, but did not increase in the nitrate only enrichments. Analysis of the phytoplankton community using Principal Component Analysis showed that 34% of the variance was accounted for by the primary axis, which was associated with different time periods, and 21% of the variance was explained by the secondary axis, which was associated with treatments. The response to phosphorus enrichment was taxon-specific, and the two chlorophyte species which became more abundant, Chlamydomonas sp. and Scenedesmus sp., were strongly weighted on the secondary axis. These results indicate that the productivity of this phytoplankton community is phosphorus-limited throughout the summer. Therefore, additional inputs of nitrogen are not expected to directly alter the productivity of the phytoplankton community.</t>
  </si>
  <si>
    <t>[Gardner, Eileen M.; McKnight, Diane M.; Miller, Matthew P.] Univ Colorado, Inst Arctic &amp; Alpine Res, Dept Civil Environm &amp; Architectural Engn, Boulder, CO 80309 USA; [Gardner, Eileen M.; Lewis, William M., Jr.] Univ Colorado, Ctr Limnol, Cooperat Inst Res Environm Sci, Dept Ecol &amp; Evolut Biol, Boulder, CO 80309 USA</t>
  </si>
  <si>
    <t>Miller, MP (corresponding author), Univ Colorado, Inst Arctic &amp; Alpine Res, Dept Civil Environm &amp; Architectural Engn, Boulder, CO 80309 USA.</t>
  </si>
  <si>
    <t>Matthew.P.Miller-1@Colorado.edu</t>
  </si>
  <si>
    <t>Miller, Matthew/A-4928-2016</t>
  </si>
  <si>
    <t>Miller, Matthew/0000-0002-2537-1823; MCKNIGHT, DIANE/0000-0002-4171-1533</t>
  </si>
  <si>
    <t>10.1657/1523-0430(07-002)[GARDNER]2.0.CO;2</t>
  </si>
  <si>
    <t>WOS:000252869000006</t>
  </si>
  <si>
    <t>Gough, L; Shrestha, K; Johnson, DR; Moon, B</t>
  </si>
  <si>
    <t>Gough, Laura; Shrestha, Kanchan; Johnson, David R.; Moon, Brian</t>
  </si>
  <si>
    <t>Long-term mammalian herbivory and nutrient addition alter lichen community structure in Alaskan dry heath tundra</t>
  </si>
  <si>
    <t>ARCTIC TUNDRA; VERTEBRATE HERBIVORES; MICROTINE RODENTS; PLANT-COMMUNITIES; NORTHERN ALASKA; RESPONSES; VEGETATION; REINDEER; FERTILIZATION; AVAILABILITY</t>
  </si>
  <si>
    <t>Mammalian herbivores in arctic tundra often alter plant species composition and lichen abundance, with effects dependent on grazing season and herbivore preference. We investigated how long-term mammal exclosures designed to exclude large mammals (caribou) alone, large and medium-sized mammals (e.g., ground squirrels), or all mammals (including voles and lemmings) affected lichen abundance and species composition as well as the vascular plant community. The exclosures were partly established in combination with long-term soil nutrient additions to investigate the interaction between mammal activity and nutrient availability. Our study was conducted in dry heath tundra in northern Alaska, dominated by dwarf evergreen shrubs and lichens. Excluding mammals for 17 years allowed the lichen community to increase in biomass, particularly within the genus Cladonia, which also had more intrageneric diversity in the exclosures; after 10 years, results were subtler. Fertilization, however, almost eliminated the lichens, regardless of herbivore treatment. This coincided with a dramatic shift in vascular vegetation toward a more palatable grass-dominated community, similar to studies of other arctic heaths. Our results suggest that with greater soil nutrient availability that occurs with climate warming, lichens will decrease in abundance, and this effect may be exacerbated by increased mammalian herbivory.</t>
  </si>
  <si>
    <t>[Gough, Laura; Shrestha, Kanchan; Johnson, David R.; Moon, Brian] Univ Texas Arlington, Dept Biol, Arlington, TX 76019 USA</t>
  </si>
  <si>
    <t>University of Texas System; University of Texas Arlington</t>
  </si>
  <si>
    <t>Gough, L (corresponding author), Univ Texas Arlington, Dept Biol, Arlington, TX 76019 USA.</t>
  </si>
  <si>
    <t>gough@uta.edu</t>
  </si>
  <si>
    <t>10.1657/1523-0430(06-087)[GOUGH]2.0.CO;2</t>
  </si>
  <si>
    <t>WOS:000252869000007</t>
  </si>
  <si>
    <t>Green, K</t>
  </si>
  <si>
    <t>Green, Ken</t>
  </si>
  <si>
    <t>Migratory bogong moths (Agrotis infusa) transport arsenic and concentrate it to lethal effect by estivating gregariously</t>
  </si>
  <si>
    <t>EUXOA-AUXILIARIS; GRIZZLY BEARS; MOUNTAINS; AUSTRALIA</t>
  </si>
  <si>
    <t>The bogong moth migrates annually to the mountains of southeastern Australia in spring, to estivate at alpine altitudes, before returning to the plains in autumn to breed. Although occurring at low densities in the plains as larvae, when they estivate gregariously densities reach high levels, so that any chemicals carried by them are concentrated. One such chemical is arsenic, which is concentrated to phytotoxic levels in the soils surrounding estivation sites. Vegetation may recover as arsenic is made unavailable by time or by fire. This may be a cyclical process that has occurred many times in the past. Bogong moths are an important food for birds and small mammals, and arsenic has been found in the food chain, although bird deaths and population declines in small mammals cannot be positively ascribed to arsenic. Genetic studies and studies looking at the chemical form of the arsenic have so far been unable to confirm the source of the arsenic; however, interception of moths on their spring migration confirms that the source is away from the mountains.</t>
  </si>
  <si>
    <t>[Green, Ken] Natl Pk &amp; Wildlife Serv, Snowy Mt Reg, Jindabyne, NSW 2627, Australia</t>
  </si>
  <si>
    <t>Green, K (corresponding author), Natl Pk &amp; Wildlife Serv, Snowy Mt Reg, PO Box 2228, Jindabyne, NSW 2627, Australia.</t>
  </si>
  <si>
    <t>kenneth.green@environment.nsw.gov.au</t>
  </si>
  <si>
    <t>10.1657/1523-0430(06-100)[GREEN]2.0.CO;2</t>
  </si>
  <si>
    <t>WOS:000252869000008</t>
  </si>
  <si>
    <t>Gurney, SD; Popovnin, VV; Shahgedanova, M; Stokes, CR</t>
  </si>
  <si>
    <t>Gurney, S. D.; Popovnin, V. V.; Shahgedanova, M.; Stokes, C. R.</t>
  </si>
  <si>
    <t>A glacier inventory for the Buordakh Massif, Cherskiy Range, northeast Siberia, and evidence for recent glacier recession</t>
  </si>
  <si>
    <t>ICE-AGE; MOUNTAIN GLACIERS; CLIMATE; RETREAT</t>
  </si>
  <si>
    <t>The Buordakh Massif, in the Cherskiy Range of northeast Siberia, contains mountains over 3000 in and, despite its and climate, numerous glaciers. This paper presents a glacier inventory for the region and documents some 80 glaciers, which range in size from 0.1 to 10.4 km(2) (total glacierized area is ca. 70 km(2)). The inventory is based on mapping derived from Landsat 7 ETM+ satellite imagery from August 2001, augmented with data from field investigations obtained at that time. The glaciers in this region are of the 'firn-less,' cold, continental type, and their mass balance relies heavily on the formation of superimposed ice. The most recent glacier maximum extents have also been delineated, and these are believed to date from the Little Ice Age (ca. A.D. 1550-1850). Glacier areal extent has reduced by some 14.8 km(2) (ca. 17%) since this most. recent maximum. Of the 80 glaciers catalogued, 49 have undergone a measurable retreat from their most recent maximum extent.</t>
  </si>
  <si>
    <t>[Gurney, S. D.; Shahgedanova, M.; Stokes, C. R.] Univ Reading, Dept Geog, Reading RG6 6AB, Berks, England; [Popovnin, V. V.] Moscow MV Lomonosov State Univ, Dept Cryolithol &amp; Glaciol, Fac Geog, Wilmington, DE 19899 USA</t>
  </si>
  <si>
    <t>University of Reading</t>
  </si>
  <si>
    <t>Gurney, SD (corresponding author), Univ Reading, Dept Geog, PO Box 227,Whiteknights, Reading RG6 6AB, Berks, England.</t>
  </si>
  <si>
    <t>s.d.gurney@reading.ac.uk</t>
  </si>
  <si>
    <t>Shahgedanova, Maria/AAU-6231-2020; Shahgedanova, Maria/D-3900-2011; Stokes, Chris/A-1957-2011</t>
  </si>
  <si>
    <t>Shahgedanova, Maria/0000-0002-2320-3885; Stokes, Chris/0000-0003-3355-1573</t>
  </si>
  <si>
    <t>10.1657/1523-0430(06-042)[GURNEY]2.0.CO;2</t>
  </si>
  <si>
    <t>Green Accepted, Green Submitted, Green Published</t>
  </si>
  <si>
    <t>WOS:000252869000009</t>
  </si>
  <si>
    <t>Jandt, R; Joly, K; Meyers, CR; Racine, C</t>
  </si>
  <si>
    <t>Jandt, Randi; Joly, Kyle; Meyers, C. Randy; Racine, Charles</t>
  </si>
  <si>
    <t>Slow recovery of lichen on burned caribou winter range in Alaska tundra: Potential influences of climate warming and other disturbance factors</t>
  </si>
  <si>
    <t>SEWARD PENINSULA; ARCTIC TUNDRA; VEGETATION RECOVERY; PLANT BIOMASS; FIRE; ECOSYSTEMS; RESPONSES; PATTERNS; REINDEER; COVER</t>
  </si>
  <si>
    <t>Lichen regeneration timelines are needed to establish sound fire management guidelines for caribou (Rangifer tarandus) winter range. Paired burned and unburned permanent vegetative cover transects were established after 1981, 1977, and 1972 tundra fires in northwestern Alaska to document regrowth of tundra vegetation including caribou forage lichens in the wintering range of Alaska's largest caribou herd. Following fire, lichen had recovered very little compared to unburned transects (1% cover vs. 15% cover) after 14 years. After 24 or 25 years, lichen cover in the burns remained low (3-4%), whether or not caribou were present during the recovery period. In addition, lichen cover on unburned transects at one study site had decreased from 14% to 6%. Shrub cover was higher on the burned plots than the unburned plots. Cover of cottongrass (Eriophorum vaginatum) initially increased following the fire and tussocks quickly became more vigorous than on paired unburned transects, remaining so for more than 14 years. Persistent changes in vegetation following fire likely reflect the cumulative impacts of seasonal caribou use and favorable growing conditions (warmer soils, longer growing season) for rooted vascular species during the recovery period. The actual recovery of forage lichens after fire on our study sites is slower than predictions based on ideal growth potential.</t>
  </si>
  <si>
    <t>[Jandt, Randi] Bur Land Management, Alaska Fire serv, Ft Wainwright, AK 99703 USA; [Joly, Kyle] Bur Land Management, Fairbanks Dist Off, Fairbanks, AK 99709 USA; [Meyers, C. Randy] Bur Land Management, Kotzebue, AK 99752 USA; [Racine, Charles] Cold Reg Res &amp; Engn Lab, Edenton, NC 27932 USA</t>
  </si>
  <si>
    <t>Jandt, R (corresponding author), Bur Land Management, Alaska Fire serv, PO Box 35005, Ft Wainwright, AK 99703 USA.</t>
  </si>
  <si>
    <t>Randi_Jandt@blm.gov</t>
  </si>
  <si>
    <t>Jandt, Randi R/E-9018-2013</t>
  </si>
  <si>
    <t>10.1657/1523-0430(06-122)[JANDT]2.0.CO;2</t>
  </si>
  <si>
    <t>WOS:000252869000010</t>
  </si>
  <si>
    <t>Kade, A; Walker, DA</t>
  </si>
  <si>
    <t>Kade, Anja; Walker, Donald A.</t>
  </si>
  <si>
    <t>Experimental alteration of vegetation on nonsorted circles: Effects on cryogenic activity and implications for climate change in the arctic</t>
  </si>
  <si>
    <t>BIOCLIMATE GRADIENT; PLANT-COMMUNITIES; N-FACTOR; SOILS; TUNDRA; ALASKA; LAYER; ECOSYSTEMS; LANDFORMS; PATTERNS</t>
  </si>
  <si>
    <t>Nonsorted circles are relatively barren patterned-ground features common in most arctic tundra regions. We studied how vegetation changes on nonsorted circles might affect cryogenic processes, which is of relevance as arctic vegetation responds to climate change. Twenty-eight circles at a moist nonacidic tundra site in northern Alaska received one of four treatments: (a) vegetation removal; (b) vegetation removal and sedge transplants; (c) vegetation removal and moss transplants; or (d) no manipulation. We monitored soil-surface temperatures, thaw depth, frost heave, and soil-surface instability as indicators of cryogenic processes for three years. Vegetation removal led to 1.5 degrees C (22.3%) warmer summer soil-surface temperatures, 4.8 cm (6.2%) deeper mean thaw depth, 3.5 cm (26.2%) greater frost heave and a drastic increase in an index of soil instability when compared to the control. In contrast, moss additions lowered soil-surface temperatures by 2.8 degrees C (41.8%) in the summer, delayed freezing by almost two weeks and thawing by one week, decreased mean thaw depth by 10.3 cm (14.9%), and decreased frost heave by 6.6 cm (52.4%) when compared to the control. The sedge treatment had intermediate effects on thaw and heave. This study indicates that increases in plant cover and particularly moss cover on nonsorted circles due to a warming climate would decrease the heat flux between the atmosphere and the mineral soil and result in shallower thaw and less frost heave, leading to regional reductions in the activities of nonsorted circles.</t>
  </si>
  <si>
    <t>[Kade, Anja] Univ Alaska Fairbanks, Dept Biol &amp; Wildlife, Fairbanks, AK 99775 USA; [Walker, Donald A.] Univ Alaska Fairbanks, Inst Arctic Biol, Fairbanks, AK 99775 USA</t>
  </si>
  <si>
    <t>University of Alaska System; University of Alaska Fairbanks; University of Alaska System; University of Alaska Fairbanks</t>
  </si>
  <si>
    <t>Kade, A (corresponding author), Univ Alaska Fairbanks, Dept Biol &amp; Wildlife, 211 Irving 1, Fairbanks, AK 99775 USA.</t>
  </si>
  <si>
    <t>ftank@uaf.edu</t>
  </si>
  <si>
    <t>Walker, Donald/0000-0001-9581-7811</t>
  </si>
  <si>
    <t>10.1657/1523-0430(06-029)[KADE]2.0.CO;2</t>
  </si>
  <si>
    <t>WOS:000252869000011</t>
  </si>
  <si>
    <t>Kullman, L</t>
  </si>
  <si>
    <t>Kullman, Leif</t>
  </si>
  <si>
    <t>Thermophilic tree species reinvade subalpine Sweden - Early responses to anomalous late holocene climate warming</t>
  </si>
  <si>
    <t>SWEDISH SCANDES; MOUNTAINS; SHIFT; RISE</t>
  </si>
  <si>
    <t>Consistent with general predictions and earlier empirical studies, it appears that recent climate warming has started to affect large-scale biogeographical patterns in northern Sweden. Long-term, systematic monitoring in permanent altitudinal belt transects reveals spread of broadleaved thermophilic tree species with quite different life histories into the subalpine forest belt. Saplings of Quercus robur, Ulmus glabra, Acer platanoides, Alnus glutinosa, and Betula pendula have responded to altered climatic conditions by jump-dispersal in the order of 50-300 km northwards and 500-800 m upwards. Thereby, they have reinvaded elevations where they grew during the warmest phase of the Holocene, 9500-8000 years ago, but were subsequently extirpated by Neoglacial cooling. Confined to the past 15 years or so, these unique observations are consistent with background climatic data, i.e. warming of all seasons. The results contribute to more realistic vegetation models by stressing that at least certain plant species are able to track climate warming without substantial migration lag.</t>
  </si>
  <si>
    <t>[Kullman, Leif] Umea Univ, Dept Ecol &amp; Environm Sci, S-90187 Umea, Sweden</t>
  </si>
  <si>
    <t>Umea University</t>
  </si>
  <si>
    <t>Kullman, L (corresponding author), Umea Univ, Dept Ecol &amp; Environm Sci, S-90187 Umea, Sweden.</t>
  </si>
  <si>
    <t>leif.kullman@emg.umu.se</t>
  </si>
  <si>
    <t>10.1657/1523-0430(06-120)[KULLMAN]2.0.CO;2</t>
  </si>
  <si>
    <t>WOS:000252869000012</t>
  </si>
  <si>
    <t>Lundmark, C; Ball, JP</t>
  </si>
  <si>
    <t>Lundmark, Caroline; Ball, John P.</t>
  </si>
  <si>
    <t>Living in snowy environments: Quantifying the influence of snow on moose behavior</t>
  </si>
  <si>
    <t>WHITE-TAILED DEER; HABITAT SELECTION; TRIAXIAL TESTS; ACCUMULATION; MIGRATION; CLIMATE; MELT; MICROSTRUCTURE; LOCOMOTION; SURVIVAL</t>
  </si>
  <si>
    <t>We investigated the effects of snow and environmental variables on the depths to which moose sank in snow, and the extent to which moose followed in the tracks of other free-ranging moose in the mountains of the subarctic areas of northernmost Sweden. We tested a method to combine the variables that affect snow quality (e.g. density and hardness) into a single variable that is easier to measure in the field. We also studied the snow conditions in the summer and winter ranges of migrating moose. First, we performed correlation analyses that revealed that sinking depths of moose decreased with increasing snow quality, snow depth, altitude, and air temperature. Next, we next used the Akaike information criterion (AIC) to determine the best model of sinking depth, which indicated that the important variables were snow quality, altitude, and snow temperature. For trail-following behavior, the best model included air temperature only. Regarding seasonal ranges, winter ranges had considerably less snow than the summer ranges that these individual moose left, but snow quality did not differ. Overall, our new method to index snow quality (here, using a dynamometer to measure the force required to press a simulated moose foot down in the snow to the depth of a moose footprint) shows promise, and we suggest that future studies of ungulate winter ecology investigate it further.</t>
  </si>
  <si>
    <t>[Lundmark, Caroline] Climate Impacts Res Ctr, S-98107 Abisko, Sweden; [Lundmark, Caroline; Ball, John P.] Swedish Univ Agr Sci, Dept Wildlife Fish &amp; Environm Studies, S-90183 Umea, Sweden</t>
  </si>
  <si>
    <t>Lundmark, C (corresponding author), Climate Impacts Res Ctr, S-98107 Abisko, Sweden.</t>
  </si>
  <si>
    <t>caroline.nordengren@vfm.slu.se; john.ball@vfm.slu.se</t>
  </si>
  <si>
    <t>Ball, John P/D-2409-2011</t>
  </si>
  <si>
    <t>10.1657/1523-0430(06-103)[LUNDMARK]2.0.CO;2</t>
  </si>
  <si>
    <t>WOS:000252869000013</t>
  </si>
  <si>
    <t>Poage, MA; Barrettt, JE; Virginia, RA; Wall, DH</t>
  </si>
  <si>
    <t>Poage, Michael A.; Barrettt, John E.; Virginia, Ross A.; Wall, Diana H.</t>
  </si>
  <si>
    <t>The influence of soil geochemistry on nematode distribution, McMurdo Dry Valleys, Antarctica</t>
  </si>
  <si>
    <t>SOUTHERN VICTORIA LAND; TAYLOR VALLEY; COMMUNITY STRUCTURE; GLACIAL HISTORY; ORGANIC-MATTER; DESERT SOILS; BIODIVERSITY; DIVERSITY; REGION; BIOTA</t>
  </si>
  <si>
    <t>Soils of the McMurdo Dry Valleys are among the most extreme terrestrial environments, hosting low-diversity food webs of microbes, protozoa, and metazoan invertebrates. Distribution of soil invertebrates, particularly nematodes, is related to the highly variable soil geochemistry of the valleys. Bull Pass is a glacially carved area within the McMurdo Dry Valleys where a broad range of geochemical conditions occurs along a continuous soil gradient. This site provides the opportunity to investigate how soil geochemistry controls nematode distribution on a local scale, and to establish correlations that may also be relevant at regional scales. At Bull Pass, two nematode species were present, with the dominant Scottnema lindsayae occurring in &gt;30% of the samples. There were significant negative correlations between live nematode abundance and soil nitrate concentration and salinity, consistent with experiments showing strong salinity effects on nematode survival. A logistic regression model based on data sets from across the McMurdo Dry Valleys showed a strong negative relationship between soil salinity and the probability of live nematodes occurring. Soil chemistry and nematode distribution from the Bull Pass transect are compared with model results and suggest that the larger-scale distribution of nematodes across the McMurdo Dry Valleys may be reflected in the smaller-scale chemical and biological gradients at Bull Pass.</t>
  </si>
  <si>
    <t>[Poage, Michael A.] Indiana Univ Penn, Dept Geosci, Indiana, PA 15705 USA; [Barrettt, John E.; Virginia, Ross A.] Dartmouth Coll, Environm Studies Program, Hanover, NH 03755 USA; [Wall, Diana H.] Colorado State Univ, Natl Resource Ecol Lab, Ft Collins, CO 80523 USA; [Barrettt, John E.] Virginia Polytech Inst &amp; State Univ, Blacksburg, VA 24061 USA</t>
  </si>
  <si>
    <t>Pennsylvania State System of Higher Education (PASSHE); Indiana University of Pennsylvania; Dartmouth College; Colorado State University; Virginia Polytechnic Institute &amp; State University</t>
  </si>
  <si>
    <t>Poage, MA (corresponding author), Indiana Univ Penn, Dept Geosci, Indiana, PA 15705 USA.</t>
  </si>
  <si>
    <t>mpoage@iup.edu</t>
  </si>
  <si>
    <t>Wall, Diana H/F-5491-2011</t>
  </si>
  <si>
    <t>Office of Polar Programs (OPP); Directorate For Geosciences [1041742] Funding Source: National Science Foundation; Office of Polar Programs (OPP); Directorate For Geosciences [0832755] Funding Source: National Science Foundation</t>
  </si>
  <si>
    <t>Office of Polar Programs (OPP); Directorate For Geosciences(National Science Foundation (NSF)NSF - Directorate for Geosciences (GEO)); Office of Polar Programs (OPP); Directorate For Geosciences(National Science Foundation (NSF)NSF - Directorate for Geosciences (GEO))</t>
  </si>
  <si>
    <t>10.1657/1523-0430(06-051)[POAGE]2.0.CO;2</t>
  </si>
  <si>
    <t>WOS:000252869000014</t>
  </si>
  <si>
    <t>Potito, AP; MacDonald, GM</t>
  </si>
  <si>
    <t>Potito, Aron P.; MacDonald, Glen M.</t>
  </si>
  <si>
    <t>The effects of aridity on conifer radial growth, recruitment, and mortality patterns in the eastern Sierra Nevada, California</t>
  </si>
  <si>
    <t>DECADAL CLIMATE VARIABILITY; TREE-RING CHRONOLOGY; NORTH PACIFIC; EL-NINO; PRECIPITATION; DYNAMICS; SPRUCE; OSCILLATION; DISTURBANCE; FORESTS</t>
  </si>
  <si>
    <t>Understanding natural variability in precipitation and drought, and the resulting effects on Sierra Nevada forests, is crucial for successful resource management in this environmentally sensitive area of California. This study assessed the species-specific influence of precipitation variations on radial growth, recruitment, and mortality patterns for three conifer species (Pinus jeffreyi, Juniperus occidentalis, and Pinus contorta) in two mid-elevation lake catchments over the past 550 years. The P. jeffreyi chronology was the most highly correlated with winter precipitation patterns, although the other two species also exhibited significant correlations. Ring-width patterns suggest the influence of the Pacific Decadal Oscillation (PDO) and El Nino-Southern Oscillation (ENSO) on winter precipitation over the length of the records. Recruitment patterns displayed significant, though directionally distinct, correlations with winter drought: P. contorta exhibited increased recruitment during extended drought periods, while P. jeffreyi and J. occidentalis showed increased recruitment during wetter intervals. Finally, a ring of dead trees around both lakes is evidence of a late 20th century water level rise, likely caused by earlier snowmelt and/or wetter conditions. Moisture availability has exerted a strong influence on Sierra Nevada forests through time, but the strength of tree-growth response, and even the sign of tree population response, has been species-specific.</t>
  </si>
  <si>
    <t>[Potito, Aron P.] Natl Univ Ireland, Dept Geog, Galway, Ireland; [MacDonald, Glen M.] Univ Calif Los Angeles, Dept Geog, Los Angeles, CA 90095 USA</t>
  </si>
  <si>
    <t>Ollscoil na Gaillimhe-University of Galway; University of California System; University of California Los Angeles</t>
  </si>
  <si>
    <t>Potito, AP (corresponding author), Natl Univ Ireland, Dept Geog, Univ Rd, Galway, Ireland.</t>
  </si>
  <si>
    <t>aaron.potito@nuigalway.ie</t>
  </si>
  <si>
    <t>Potito, Aaron/0000-0003-0194-9552</t>
  </si>
  <si>
    <t>10.1657/1523-0430(05-080)[POTITO]2.0.CO;2</t>
  </si>
  <si>
    <t>WOS:000252869000015</t>
  </si>
  <si>
    <t>Purdie, HL; Brook, MS; Fuller, IC</t>
  </si>
  <si>
    <t>Purdie, H. L.; Brook, M. S.; Fuller, I. C.</t>
  </si>
  <si>
    <t>Seasonal variation in ablation and surface velocity on a temperate maritime Glacier: Fox Glacier, New Zealand</t>
  </si>
  <si>
    <t>FRANZ-JOSEF-GLACIER; HEAT-BALANCE CHARACTERISTICS; LARGE TIDEWATER GLACIER; SOUTH-WESTLAND; HYDROLOGIC BASIS; BASAL MOTION; RAPID MOTION; DAROLLA; CLIMATE; STORGLACIAREN</t>
  </si>
  <si>
    <t>Seasonal variations in ablation and surface velocity were investigated on the lower part of Fox Glacier, South Westland, New Zealand. A large variation between summer and winter ablation was recorded, with daily averages of 129 mm d(-1) and 22 turn d-1, respectively. Variations in measured climatic variables were found to account for similar to 90% of variation in ablation during both summer and winter seasons, with significant increases in ablation occurring in conjunction with heavy rainfall events. Surface velocity also showed seasonality, averaging 0.87 m d(-1) during summer and 0.64 m d(-1) in winter, a reduction of similar to 26%. It is thought that the general reduction in velocity during winter can be attributed to a decrease in the supply of surface meltwater to the subglacial zone. Short-term velocity peaks appeared to coincide with heavy rainfall events, with surface velocity responses typically occurring within 24 hours of each rainfall event. During winter, moderate rainfall events (&lt;= 100 min over 24 hours) created a surface velocity response up to 44% greater than the prevailing velocity. Though difficult to deconvolve, magnitudes of surface velocity response to rainfall inputs appear linked to time tags between rainfall events and subglacial drainage efficiency and water storage. The longer-term dynamics of Fox Glacier appear linked to fluctuations in the Southern Oscillation Index (SOI), with positive mass balances of Southern Alps' glaciers appearing to mirror negative SOI (El Nino) conditions. Given the calculated response time of similar to 9.1 years for Fox Glacier, the current terminus advance may be linked to mass gains reported in the mid-1990s, with current mass balance gains perhaps leading to terminus advances similar to 9 years hence.</t>
  </si>
  <si>
    <t>[Purdie, H. L.; Brook, M. S.; Fuller, I. C.] Massey Univ, Sch People Environm &amp; Planning, Geog Programme, Palmerston North, New Zealand</t>
  </si>
  <si>
    <t>Massey University</t>
  </si>
  <si>
    <t>Brook, MS (corresponding author), Massey Univ, Sch People Environm &amp; Planning, Geog Programme, Private Bag 11-222, Palmerston North, New Zealand.</t>
  </si>
  <si>
    <t>m.s.brook@massey.ac.nz</t>
  </si>
  <si>
    <t>Fuller, Ian Christopher/H-6382-2019</t>
  </si>
  <si>
    <t>Fuller, Ian/0000-0002-5123-1648; Purdie, Heather/0000-0002-2723-6908</t>
  </si>
  <si>
    <t>10.1657/1523-0430(06-032)[PURDIE]2.0.CO;2</t>
  </si>
  <si>
    <t>WOS:000252869000016</t>
  </si>
  <si>
    <t>Reardon, BA; Pederson, GT; Caruso, CJ; Fagre, DB</t>
  </si>
  <si>
    <t>Reardon, B. A.; Pederson, G. T.; Caruso, C. J.; Fagre, D. B.</t>
  </si>
  <si>
    <t>Spatial reconstructions and comparisons of historic snow avalanche frequency and extent using tree rings in Glacier National Park, Montana, USA</t>
  </si>
  <si>
    <t>NORTHERN GASPE PENINSULA; ROCKFALL ACTIVITY; MASS MOVEMENT; DEBRIS-FLOW; HAZARD; PLATEAU; QUEBEC; FIRE</t>
  </si>
  <si>
    <t>Natural snow avalanches have periodically damaged infrastructure and disrupted railroad and highway traffic at the southwestern corner of Glacier National Park, Montana. The 94-year history of these disruptions constitutes an uncommon record of natural avalanches spanning over nine decades and presents a unique opportunity to examine how natural avalanche frequency and minimum extent have varied over time due to climatic or biophysical changes. This study compared the historic record of natural avalanches in one avalanche path with tree-ring evidence of avalanches from 109 cross sections and increment cores collected in the same path. Results from combined historic and tree-ring records yielded 27 avalanche years in the 1910-2003 chronology, with the historic record alone underestimating avalanche years by half. Mean return period was 3.2 years. Interpolated maps allowed for more spatially precise estimates of return periods throughout the runout zone than previous studies. The maps show return periods increase rapidly downslope from 2.3 to 25 years. Avalanche years were associated with positive Snow Water Equivalent anomalies at a nearby snow course. Minimum avalanche extent was highly variable but not associated with snowpack anomalies. Most avalanche years coincided with years in which the mean January-February Pacific Decadal Oscillation (PDO) and El Nino-Southern Oscillation (ENSO) 3.4 indices were neutral. The findings suggest that changes in Pacific climate patterns that influence snowfall could also alter the frequency of natural snow avalanches and could thus change disturbance patterns in the montane forests of the canyon.</t>
  </si>
  <si>
    <t>[Reardon, B. A.] US Geol Survey No Rocky Mt Sci Ct, Sci Ctr, Global Change Program, W Glacier, MT 59936 USA; [Pederson, G. T.; Caruso, C. J.] Montana State Univ, Big Sky Inst, Bozeman, MT 59717 USA; [Fagre, D. B.] US Geol Survey, Ctr Sci, W Glacier, MT 59936 USA</t>
  </si>
  <si>
    <t>United States Department of the Interior; United States Geological Survey; Montana State University System; Montana State University Bozeman; United States Department of the Interior; United States Geological Survey</t>
  </si>
  <si>
    <t>Reardon, BA (corresponding author), US Geol Survey No Rocky Mt Sci Ct, Sci Ctr, Global Change Program, Glacier Natl Pk, W Glacier, MT 59936 USA.</t>
  </si>
  <si>
    <t>blase.reardon@gmail.com</t>
  </si>
  <si>
    <t>10.1657/1523-0430(06-069)[REARDON]2.0.CO;2</t>
  </si>
  <si>
    <t>WOS:000252869000017</t>
  </si>
  <si>
    <t>Resler, LM; Tomback, DF</t>
  </si>
  <si>
    <t>Resler, Lynn M.; Tomback, Diana F.</t>
  </si>
  <si>
    <t>Blister rust prevalence in krummholz whitebark pine: Implications for treeline dynamics, northern Rocky Mountains, Montana, USA</t>
  </si>
  <si>
    <t>TUNDRA VEGETATION; CLARK NUTCRACKER; ALPINE; ESTABLISHMENT; REGENERATION; DISPERSAL; PATTERNS; ISLANDS; PARK</t>
  </si>
  <si>
    <t>Whitebark pine (Pinus albicaulis), an important treeline conifer in northern Montana, is considered both a keystone and foundation species in high-elevation ecosystems. The introduced fungal pathogen Cronartium ribicola, which causes white pine blister rust, has resulted in severe declines in whitebark pine in subalpine forest communities throughout the northern Rockies during past decades. However, the prevalence of blister rust in whitebark pine within the alpine treeline community and its impact remain to be determined. We gathered field data on blister rust infection incidence in the treeline ecotone at two locations east of the Continental Divide in the northern Rocky Mountains, Montana, U.S.A. Our objectives were (1) to examine the potential importance of whitebark pine in tree island formation, (2) to determine if blister rust is present in whitebark pine within the alpine treeline community, and (3) to characterize the incidence and intensity of blister rust in krummholz tree islands. We found that whitebark pine is the primary initial colonizer in tree island formation, indicating that the species is important in generating vegetation pattern in these communities. Thirty-five percent of all sampled whitebark pine were infected with blister rust. Although more cankers were found in solitary whitebark pine trees, highest infection incidence per tree occurred in trees that were part of multitree islands. Finally, we found a significant correlation between tree island length and infection incidence. These results have important implications with respect to alpine treeline dynamics on a landscape scale, especially in the context of climate change.</t>
  </si>
  <si>
    <t>[Resler, Lynn M.] Virginia Polytech Inst &amp; State Univ, Dept Geog, Blacksburg, VA 24060 USA; [Tomback, Diana F.] Univ Colorado, Dept Biol, Denver, CO 80217 USA</t>
  </si>
  <si>
    <t>Virginia Polytechnic Institute &amp; State University; University of Colorado System; University of Colorado Denver</t>
  </si>
  <si>
    <t>Resler, LM (corresponding author), Virginia Polytech Inst &amp; State Univ, Dept Geog, 115 Major Williams Hall, Blacksburg, VA 24060 USA.</t>
  </si>
  <si>
    <t>resler@vt.edu</t>
  </si>
  <si>
    <t>10.1657/1523-0430(06-116)[RESLER]2.0.CO;2</t>
  </si>
  <si>
    <t>WOS:000252869000018</t>
  </si>
  <si>
    <t>Sorensen, PL; Clemmensen, KE; Michelsen, A; Jonasson, S; Ström, L</t>
  </si>
  <si>
    <t>Sorensen, Pernille Laerkedal; Clemmensen, Karina Engelbrecht; Michelsen, Anders; Jonasson, Sven; Strom, Lena</t>
  </si>
  <si>
    <t>Plant and microbial uptake and allocation of organic and inorganic nitrogen related to plant growth forms and soil conditions at two subarctic tundra sites in Sweden</t>
  </si>
  <si>
    <t>BOREAL FOREST PLANTS; AMINO-ACID; CHLOROFORM FUMIGATION; SALT-MARSH; NUTRIENT; ECTOMYCORRHIZAL; ECOSYSTEM; CARBON; RESPONSES; FIELD</t>
  </si>
  <si>
    <t>In order to follow the uptake and allocation of N in different plant functional types and microbes in two tundra ecosystems differing in nutrient availability, we performed a N-15-labeling experiment with three N forms and followed the partitioning of N-15 label among plants, microorganisms and soil organic matter. At both sites the deciduous dwarf shrub Betula nana and the evergreen Empetrum hermaphroditum absorbed added N-15 at rates in the order: NH4+ &gt; NO3- &gt; glycine, in contrast to the graminoid Carex species which took up added N-15 at rates in the order NO3- &gt; NH4+ &gt; glycine. Carex transported a high proportion of N-15 to aboveground parts, whereas the dwarf shrubs allocated most N-15 to underground storage. Enhanced C-13 in Betula nana roots represents the first field evidence of uptake of intact glycine by this important circumpolar plant. Plant and microbial uptake of label was complementary as plants took up more inorganic than organic N, while microbes preferred organic N. Microbes initially took up a large part of the added label, but over the following four weeks microbial N-15 decreased by 50% and most N-15 was recovered in soil organic matter, while a smaller but slowly increasing proportion was retained in plant biomass.</t>
  </si>
  <si>
    <t>[Sorensen, Pernille Laerkedal; Clemmensen, Karina Engelbrecht; Michelsen, Anders; Jonasson, Sven] Univ Copenhagen, Inst Biol, Dept Terrestrial Ecol, DK-1353 Copenhagen, Denmark; [Strom, Lena] Lund Univ, GeoBiosphere Sci Ctr, S-22362 Lund, Sweden</t>
  </si>
  <si>
    <t>University of Copenhagen; Lund University</t>
  </si>
  <si>
    <t>Sorensen, PL (corresponding author), Univ Copenhagen, Inst Biol, Dept Terrestrial Ecol, Oster Farimagsgade 2D, DK-1353 Copenhagen, Denmark.</t>
  </si>
  <si>
    <t>pernills@bi.ku.dk</t>
  </si>
  <si>
    <t>Clemmensen, Karina Engelbrecht/C-9555-2014; Michelsen, Anders/L-5279-2014</t>
  </si>
  <si>
    <t>Clemmensen, Karina Engelbrecht/0000-0002-9627-6428; Michelsen, Anders/0000-0002-9541-8658; Strom, Lena/0000-0003-0798-8763</t>
  </si>
  <si>
    <t>10.1657/1523-0430(06-114)[SORENSEN]2.0.CO;2</t>
  </si>
  <si>
    <t>WOS:000252869000019</t>
  </si>
  <si>
    <t>Starr, G; Oberbauer, SF; Ahlquist, LE</t>
  </si>
  <si>
    <t>Starr, Gregory; Oberbauer, Steven F.; Ahlquist, Lorraine E.</t>
  </si>
  <si>
    <t>The photosynthetic response of Alaskan tundra plants to increased season length and soil warming</t>
  </si>
  <si>
    <t>GROWING-SEASON; CLIMATE-CHANGE; CO2 FLUX; ERIOPHORUM-VAGINATUM; POLYGONUM-VIVIPARUM; TUSSOCK TUNDRA; CARBON-DIOXIDE; ARCTIC TUNDRA; GROWTH; FROST</t>
  </si>
  <si>
    <t>How the carbon balance of arctic ecosystems responds to climate warming will depend on the changes in carbon assimilation capacity of tundra plant species. Along with air and soil warming, one of the consequences of warming likely to be important for carbon assimilation of tundra plant species is an expected 40% increase in growing season length. We examined the effects of a lengthened growing season and soil warming on the photosynthetic capacity of seven tundra plant species from four growth forms that comprise &gt;90% of the vascular cover of wet tussock tundra. Maximum photosynthetic capacity of these key species was relatively unchanged by the manipulation that significantly altered growing season length, active layer depth, and soil temperatures. Highest photosynthetic rates were found for the forb, Polygonum bistorta, and the lowest for dwarf evergreen shrubs. Seasonal patterns revealed that plants maintained relatively high light-saturated photosynthetic capacity (A(max)) values throughout most of the growing season. Interannual variation was significant, but differences were small for most species. The study shows that tundra species operate within a relatively narrow range for maximum photosynthetic capacity with this maximum seldom being reached under ambient conditions. Thus, when evaluating the effects of climate change on tundra ecosystem carbon uptake, species composition and total photosynthetic leaf area should be considered first. These two factors will affect the system carbon exchange capacity during climate warming more so than species-level assimilation capacity.</t>
  </si>
  <si>
    <t>[Starr, Gregory; Oberbauer, Steven F.; Ahlquist, Lorraine E.] Florida Int Univ, Dept Biol Sci, Miami, FL 33199 USA</t>
  </si>
  <si>
    <t>State University System of Florida; Florida International University</t>
  </si>
  <si>
    <t>Starr, G (corresponding author), Univ Alabama, Dept Biol Sci, Tuscaloosa, AL 35487 USA.</t>
  </si>
  <si>
    <t>gstarr@bama.ua.edu</t>
  </si>
  <si>
    <t>Oberbauer, Steven F/JNE-2672-2023</t>
  </si>
  <si>
    <t>Oberbauer, Steven F/0000-0001-5404-1658; Starr, Gregory/0000-0002-7918-242X</t>
  </si>
  <si>
    <t>10.1657/1523-0430(06-015)[STARR]2.0.CO;2</t>
  </si>
  <si>
    <t>WOS:000252869000020</t>
  </si>
  <si>
    <t>Thompson, PL; Jacques, MC; Vinebrooke, RD</t>
  </si>
  <si>
    <t>Thompson, Patrick L.; St-Jacques, Marie-Claire; Vinebrooke, Rolf D.</t>
  </si>
  <si>
    <t>Impacts of climate warming and nitrogen deposition on alpine plankton in lake and pond habitats:: an in vitro experiment</t>
  </si>
  <si>
    <t>MOUNTAIN LAKES; PHYTOPLANKTON COMMUNITY; TEMPERATE LAKES; ZOOPLANKTON; PHOSPHORUS; DYNAMICS; RANGE; RESUSPENSION; NUTRIENTS; RESPONSES</t>
  </si>
  <si>
    <t>The combined effects of multiple ecological stressors determine the net impact of global change on environmentally sensitive alpine and polar environments. For example, climate warming and nitrogen deposition both increasingly affect ecosystems at high elevations. We hypothesized that the net impact of warming and nitrogen on alpine plankton differs between consumers and producers because of the greater environmental sensitivity of higher trophic levels. Also, we expected that habitat conditions would mediate the responses of plankton to these two stressors as sediments function as ecological buffers against environmental change. These hypotheses were tested in a growth chamber by applying temperature (8 vs. 15 degrees C) and nitrogen (200 vs. 1000 mu g N L-1) treatments to a planktonic alpine community in the presence and absence of sediments obtained from Pipit Lake, Banff National Park, Alberta. A significant nitrogen-temperature interaction affected phytoplankton abundance because the positive effect of fertilization depended on warming. Warming also amplified the effect of nitrogen on herbivores while suppressing the fecundity of omnivores. The presence of sediments suppressed the positive effect of warming on herbivores, but stimulated omnivores. The observed prevalence of non-additive effects highlights the strong potential for global change causing future ecological surprises in alpine environments.</t>
  </si>
  <si>
    <t>[Thompson, Patrick L.; St-Jacques, Marie-Claire; Vinebrooke, Rolf D.] Univ Alberta, Dept Biol Sci, Freshwater Biodiversity Lab, Edmonton, AB T6G 2E9, Canada</t>
  </si>
  <si>
    <t>Thompson, PL (corresponding author), Univ Alberta, Dept Biol Sci, Freshwater Biodiversity Lab, Edmonton, AB T6G 2E9, Canada.</t>
  </si>
  <si>
    <t>plt@ualberta.ca</t>
  </si>
  <si>
    <t>Thompson, Patrick L/B-6213-2012; Vinebrooke, Rolf/A-3766-2014</t>
  </si>
  <si>
    <t>Thompson, Patrick L/0000-0002-5278-9045; Vinebrooke, Rolf/0000-0003-0497-2520</t>
  </si>
  <si>
    <t>10.1657/1523-0430(06-105)[THOMPSON]2.0.CO;2</t>
  </si>
  <si>
    <t>WOS:000252869000021</t>
  </si>
  <si>
    <t>Thost, DE; Truffer, M</t>
  </si>
  <si>
    <t>Thost, Douglas E.; Truffer, Martin</t>
  </si>
  <si>
    <t>Glacier recession on Heard Island, southern Indian Ocean</t>
  </si>
  <si>
    <t>DOWNSLOPE WINDSTORMS; NONLINEAR FLOW; MOUNTAIN; TEMPERATURE</t>
  </si>
  <si>
    <t>Glacier retreat has been widespread on Heard Island, an isolated 2745-m-high volcano in the southern Indian Ocean, since the first observations in 1947. This study represents the first quantification of the mass loss of a Heard Island glacier. Brown Glacier is 4.8 km long and is land terminating. A digital elevation model for the glacier was developed using a combination of static and kinematic differentially corrected GPS surveys and hand-held GPS elevations, and together with ground penetrating radar, was used to estimate the glacier's catchment area boundary. The 1947 extent of the glacier was estimated from an aerial photograph. The total ice covered area has decreased from an estimated 6.18 x 10(6) m(2) in 1947 to 4.38 x 10(6) m(2) in 2004. This corresponds to a loss of similar to 29% of the original area. During the same period the ice volume decreased by an estimated 1.743 x 10(8) m(2) (similar to 3.06 x 10(6) m(3) a(-1)), equating to an average thickness change of -0.50 m a(-1). The mass loss is consistent with limited temperature observations in the area that indicate a +0.9 degrees C warming over the same time span. Meteorological observations combined with an energy balance model demonstrate the impact of foehn winds on the mass balance of the upper slopes of the glacier. Between December 2000 and December 2003, repeat differentially corrected GPS surface surveys revealed an average surface change of -9.9 m in the ablation area and -5.9 m in the accumulation area, translating to an ice loss of -8.0 x 10(6) m(3) a(-1), or more than double the 57 year average rate. There is no indication of an increase in geothermal heat flux that could explain an ice loss of this magnitude. The increase in the rate of ice loss suggests the glacier is reacting to ongoing changes in climatic conditions rather than approaching steady state.</t>
  </si>
  <si>
    <t>[Thost, Douglas E.] Antarctic Climate &amp; Ecosyst CRC, Australian Antarctic Div, Hobart, Tas 7001, Australia; [Truffer, Martin] Univ Alaska Fairbanks, Inst Geophys, Fairbanks, AK 99775 USA</t>
  </si>
  <si>
    <t>Australian Antarctic Division; University of Tasmania; University of Alaska System; University of Alaska Fairbanks</t>
  </si>
  <si>
    <t>Thost, DE (corresponding author), Antarctic Climate &amp; Ecosyst CRC, Australian Antarctic Div, Private Bag 80, Hobart, Tas 7001, Australia.</t>
  </si>
  <si>
    <t>doug.thost@aad.gov.au; truffer@gi.alaska.edu</t>
  </si>
  <si>
    <t>10.1657/1523-0430(06-084)[THOST]2.0.CO;2</t>
  </si>
  <si>
    <t>WOS:000252869000022</t>
  </si>
  <si>
    <t>Vistnes, II; Nellemann, C</t>
  </si>
  <si>
    <t>Vistnes, Ingunn Ims; Nellemann, Christian</t>
  </si>
  <si>
    <t>Reindeer winter grazing in alpine tundra: Impacts on ridge community composition in Norway</t>
  </si>
  <si>
    <t>RANGIFER-TARANDUS-TARANDUS; SEMI-DOMESTIC REINDEER; RIVER CARIBOU HERD; ST-MATTHEW-ISLAND; WILD REINDEER; SPECIES RICHNESS; FINNISH LAPLAND; NORTHWEST-TERRITORIES; MAMMALIAN HERBIVORES; VEGETATION CHANGES</t>
  </si>
  <si>
    <t>We analyzed lichen species composition and biomass in 815 plots on 163 sites across wild reindeer regions in Norway, ranging from ranges with a long history of very low grazing pressure to heavily grazed sites. Reindeer density (1974-2000) and lichen biomass were well correlated for sites with comparable snow cover, altitude and terrain (R-2 = 0.81, P = 0.006, n = 12). Absence of grazing for potentially several centuries has virtually resulted in a monoculture consisting of Cladina stellaris, Flavocetraria nivalis, and Alectoria ochroleuca (Syn. Bryocaulon ochroleuca). Light grazing in terms of 20 to 30% removal of initial lichen cover easily eroded Cladina stellaris from exposed ridges by cratering and trampling by reindeer through the snow, while Flavocetraria nivalis persisted longer. This decline in lichen cover observed along a historic grazing gradient further resulted in increasing cover of bare ground, but less than expected from lichen removal due to gradual colonization of other species, such as mosses (incl. Polytrichum piliferum), crustose and fruticose lichens, dwarf shrubs (Arctostaphylos spp., Empetrum nigrum, Loiseleuria procumbens), and graminoids, particularly rushes (Juncus trifidus). Moderate grazing may thus increase plant diversity on ridges compared to ungrazed lands, and hence strongly influence gradients in biomass, composition and abundance of ridge communities across the landscape.</t>
  </si>
  <si>
    <t>[Vistnes, Ingunn Ims] Norut Alta, N-9506 Alta, Norway; [Nellemann, Christian] Norwegian Inst Nat Res, N-2624 Lillehammer, Norway</t>
  </si>
  <si>
    <t>Norwegian Institute Nature Research</t>
  </si>
  <si>
    <t>Vistnes, II (corresponding author), Norut Alta, Postboks 1463, N-9506 Alta, Norway.</t>
  </si>
  <si>
    <t>ingunn@finnmark.norut.no; christian.nellemann@nina.no</t>
  </si>
  <si>
    <t>10.1657/1523-0430(07-001)[VISTNES]2.0.CO;2</t>
  </si>
  <si>
    <t>WOS:000252869000023</t>
  </si>
  <si>
    <t>Vittoz, P; Rulence, B; Largey, T; Freléchoux, F</t>
  </si>
  <si>
    <t>Vittoz, Pascal; Rulence, Benoit; Largey, Thierry; Frelechoux, Francois</t>
  </si>
  <si>
    <t>Effects of climate and land-use change on the establishment and growth of cembran pine (Pinus cembra L.) over the altitudinal treeline ecotone in the Central Swiss Alps</t>
  </si>
  <si>
    <t>WHITE SPRUCE; PICEA-ABIES; TEMPERATURE VARIABILITY; ALPINE TIMBERLINE; NATIONAL-PARK; DYNAMICS; 20TH-CENTURY; EXPANSION; RESPONSES; LIMIT</t>
  </si>
  <si>
    <t>Tree growth is generally limited by temperature in cold climates and by water availability in and zones. Establishment in altitudinal treeline ecotones depends on the temperature, but may be very sensitive to water availability as well. We studied the effect of climate and land use on the colonization and growth of Pinus cembra in the treeline ecotone of the dry Central Swiss Alps; one site was influenced by timber harvest and cattle activity and another one was undisturbed. Stands were sampled at three elevations: in the forest and the lower and upper parts of the treeline ecotone. The age structure was similar in all sites, ranging from uneven-aged (forest) to more even-aged, with recent densitication and upslope expansion of the treeline ecotone. However, recruitment started at the treeline around 1850 (the end of the Little Ice Age) in the undisturbed site, simultaneously with an increase of tree-ring growth, but about 60 years later at the other site, after cattle grazing decreased. These results, and the positive correlation of radial growth with summer and previous autumn temperatures indicated that, in this altitudinal treeline ecotone, growth and establishment are mainly linked to temperature. However, drought stress was visible in the lowest stands, with a positive correlation of growth with rainfall during the previous autumn and December, and in August of the growing season. This could limit growth in a future warmer climate.</t>
  </si>
  <si>
    <t>[Vittoz, Pascal] Univ Lausanne, Fac Geosci &amp; Environm Sci, CH-1015 Lausanne, Switzerland; [Vittoz, Pascal; Rulence, Benoit; Largey, Thierry] Univ Lausanne, Dept Ecol &amp; Evolut, CH-1015 Lausanne, Switzerland; [Frelechoux, Francois] Swiss Fed Res Inst, WSL Antenne Romande, CH-1015 Lausanne, Switzerland</t>
  </si>
  <si>
    <t>University of Lausanne; University of Lausanne</t>
  </si>
  <si>
    <t>Vittoz, P (corresponding author), Univ Lausanne, Fac Geosci &amp; Environm Sci, Batiment Biophore, CH-1015 Lausanne, Switzerland.</t>
  </si>
  <si>
    <t>pascal.vittoz@unil.ch</t>
  </si>
  <si>
    <t>Vittoz, Pascal/0000-0003-4218-4517</t>
  </si>
  <si>
    <t>10.1657/1523-0430(06-010)[VITTOZ]2.0.CO;2</t>
  </si>
  <si>
    <t>WOS:000252869000024</t>
  </si>
  <si>
    <t>Wagner, I; Simons, AM</t>
  </si>
  <si>
    <t>Wagner, Ioan; Simons, Andrew M.</t>
  </si>
  <si>
    <t>Intraspecific divergence in seed germination traits between high- and low-latitude populations of the arctic-alpine annual Koenigia islandica</t>
  </si>
  <si>
    <t>PHACELIA-SECUNDA HYDROPHYLLACEAE; KNAUTIA-ARVENSIS; CENTRAL CHILE; PLANT; ECOLOGY; ENVIRONMENT; STRATEGIES; DORMANCY; GROWTH; ANDES</t>
  </si>
  <si>
    <t>Populations of arctic-alpine plant species inhabit a range of environments, to which their life-history characters are expected to have adapted; yet geographic differentiation among populations is seldom studied. Brief growing seasons mean that germination characters are critical fitness traits, especially for annual species. In this study, striking differences in germination traits among three geographically distinct populations of the widely distributed arctic-alpine annual Koenigia islandica are found. The seeds (achenes) of the Colorado population, which experience the lowest summer temperatures, are conditionally dormant; only scarification breaks dormancy. This germination pattern is consistent in all four investigated subpopulations from Colorado, with no significant differences among them. In contrast, seeds originating in the Yukon, which experience extreme winter temperatures but a relatively warm summer, germinate readily after cold stratification, a pattern consistent with that of summer annuals. Seeds from the Norway population, which experience the mildest climate, germinate readily even if untreated. Cold stratification decreases germination fraction in the Norway population, a pattern characteristic of winter annuals. The strong population differentiation found here provides evidence for divergent selection operating among arctic-alpine habitats and suggests that further investigation of its adaptive significance is merited.</t>
  </si>
  <si>
    <t>[Wagner, Ioan; Simons, Andrew M.] Carleton Univ, Dept Biol, Ottawa, ON K1S 5B6, Canada</t>
  </si>
  <si>
    <t>Carleton University</t>
  </si>
  <si>
    <t>Wagner, I (corresponding author), Carleton Univ, Dept Biol, 1125 Colonel By Dr, Ottawa, ON K1S 5B6, Canada.</t>
  </si>
  <si>
    <t>jwagner@ccs.carleton.ca</t>
  </si>
  <si>
    <t>Simons, Andrew M/A-7751-2012</t>
  </si>
  <si>
    <t>Simons, Andrew/0000-0002-0198-465X</t>
  </si>
  <si>
    <t>10.1657/1523-0430(07-003)[WAGNER]2.0.CO;2</t>
  </si>
  <si>
    <t>WOS:000252869000025</t>
  </si>
  <si>
    <t>Wardle, P</t>
  </si>
  <si>
    <t>Wardle, Peter</t>
  </si>
  <si>
    <t>New Zealand forest to alpine transitions in global context</t>
  </si>
  <si>
    <t>TIERRA-DEL-FUEGO; SOUTH-ISLAND; PLANT-DISTRIBUTION; MOUNTAIN-RANGE; LIFE FORMS; TREELINE; VEGETATION; TEMPERATURE; CARBON; LIMITS</t>
  </si>
  <si>
    <t>New Zealand high-altitude tree limits are formed either abruptly by evergreen Nothofagus or by low forest of more frost-tolerant small trees reaching similar maximum altitudes. Whereas most tree limits are contiguous with low-growing alpine vegetation, in New Zealand a belt dominated by tussock grasses intervenes that is vulnerable to invasion by hardy introduced trees and seems ecologically equivalent to fire-maintained high-altitude tropical grasslands. New Zealand tree limits coincide with warmer growing-season temperatures than other tree limits, including deciduous Nothofagus in the southern Andes. They also correlate with coldest-month mean temperatures around 0 degrees C, in accordance with the limits of broadleaved evergreen trees globally, unlike north temperate subalpine trees that withstand extreme winter cold. Adverse environments lead to krummholz that in temperate regions can form an attenuated belt above the forest limit, but in New Zealand Nothofagus krummholz develops only at or below the forest limit, in accordance with absence of Nothofagus seedlings beyond a few meters above the forest limit. The relatively low altitudes attained by New Zealand trees are related to isolation and the recent uplift of high mountains, and the differentiation between Nothofagus forest and low forest reflects historical and geological events.</t>
  </si>
  <si>
    <t>Landcare Res, Lincoln, New Zealand</t>
  </si>
  <si>
    <t>Landcare Research - New Zealand</t>
  </si>
  <si>
    <t>Wardle, P (corresponding author), Landcare Res, POB 69, Lincoln, New Zealand.</t>
  </si>
  <si>
    <t>wardlep@paradise.net.nz</t>
  </si>
  <si>
    <t>10.1657/1523-0430(06-066)[WARDLE]2.0.CO;2</t>
  </si>
  <si>
    <t>WOS:000252869000026</t>
  </si>
  <si>
    <t>Yang, Y; Körner, C; Sun, H</t>
  </si>
  <si>
    <t>Yang, Yang; Koerner, Christian; Sun, Hang</t>
  </si>
  <si>
    <t>The ecological significance of pubescence in Saussurea medusa, a high-elevation Himalayan woolly plant</t>
  </si>
  <si>
    <t>LEAF SURFACE WETNESS; FLOWER HELIOTROPISM; TEMPERATURE; HEAT; INFLORESCENCES; VISITATION; EVOLUTION; PATTERNS; HAIRS</t>
  </si>
  <si>
    <t>Several members of the vascular plant genus Saussurea, which are found at elevations exceeding 5000 in, have dense layers of woolly trichomes on their leaves, bracts, and inflorescences, the function of which is not fully understood. Here we explore the thermal benefits of pubescence in Saussurea medusa, both in situ in the Chinese Hengduan Mountains and under controlled conditions. Mean daytime inflorescence temperature was 5.9 K above air temperature. Pubescence removal revealed that most of this warming is not related to pubescence but to radiant warming of the compact inflorescence itself (4.1 K warming in shaved plants, i.e. 1.8 K less). The effect of pubescence on nighttime radiative cooling was negligible. Our data indicated that the functional role of pubescence in these high-elevation plants cannot be attributed solely to producing warming tissues, but may also include other functions such as water repellency and reflection of short peaks of high radiation. These other functions must be specific to a small group of species, given that most other high elevation taxa do not exhibit this woolly character.</t>
  </si>
  <si>
    <t>[Koerner, Christian] Univ Basel, Inst Bot, CH-4056 Basel, Switzerland; [Yang, Yang; Sun, Hang] Chinese Acad Sci, Kunming Inst Bot, Key Lab Biodivers &amp; Biogeog, Kunming 650204, Yunnan, Peoples R China; [Yang, Yang] Chinese Acad Sci, Grad Sch, Beijing 100039, Peoples R China</t>
  </si>
  <si>
    <t>University of Basel; Chinese Academy of Sciences; Kunming Institute of Botany, CAS; Chinese Academy of Sciences; University of Chinese Academy of Sciences, CAS</t>
  </si>
  <si>
    <t>Körner, C (corresponding author), Univ Basel, Inst Bot, Schonbeinstr 6, CH-4056 Basel, Switzerland.</t>
  </si>
  <si>
    <t>ch.koerner@unibas.ch; hsun@mail.kib.ac.cn</t>
  </si>
  <si>
    <t>Körner, Christian/B-6592-2014</t>
  </si>
  <si>
    <t>Körner, Christian/0000-0001-7768-7638</t>
  </si>
  <si>
    <t>10.1657/1523-0430(07-009)[YANG]2.0.CO;2</t>
  </si>
  <si>
    <t>WOS:000252869000027</t>
  </si>
  <si>
    <t>Zhang, YA; Peterman, MR; Aun, DL; Zhang, YM</t>
  </si>
  <si>
    <t>Zhang, Yanqing A.; Peterman, Michael R.; Aun, Dorin L.; Zhang, Yanming</t>
  </si>
  <si>
    <t>Cellular automata: Simulating alpine tundra vegetation dynamics in response to global warming</t>
  </si>
  <si>
    <t>CLIMATE; ECOSYSTEMS; COMMUNITY; PLATEAU; NEED</t>
  </si>
  <si>
    <t>This study attempts to model alpine tundra vegetation dynamics in a tundra region in the Qinghai Province of China in response to global warming. We used Raster-based cellular automata and a Geographic Information System to study the spatial and temporal vegetation dynamics. The cellular automata model is implemented with IDRISI's Multi-Criteria Evaluation functionality to simulate the spatial patterns of vegetation change assuming certain scenarios of global mean temperature increase over time. The Vegetation Dynamic Simulation Model calculates a probability surface for each vegetation type, and then combines all vegetation types into a composite map, determined by the maximum likelihood that each vegetation type should distribute to each raster unit. With scenarios of global temperature increase of I to 3 degrees C, the vegetation types such as Dry Kobresia Meadow and Dry Potentilla Shrub that are adapted to warm and dry conditions tend to become more dominant in the study area.</t>
  </si>
  <si>
    <t>[Zhang, Yanqing A.; Peterman, Michael R.; Aun, Dorin L.] Simon Fraser Univ, Dept Geog, Burnaby, BC V5A 1S6, Canada; [Zhang, Yanqing A.] Simon Fraser Univ, Sch Comp Sci, Burnaby, BC V5A 1S6, Canada; [Zhang, Yanming] Chinese Acad Sci, NW Plateau Inst Biol, Xining 810001, Qinghai, Peoples R China</t>
  </si>
  <si>
    <t>Simon Fraser University; Simon Fraser University; Chinese Academy of Sciences; Northwest Institute of Plateau Biology, CAS</t>
  </si>
  <si>
    <t>Zhang, YA (corresponding author), 3-2025 Clarke St, Port Moody, BC V3H 1Y3, Canada.</t>
  </si>
  <si>
    <t>instca@yahoo.com</t>
  </si>
  <si>
    <t>10.1657/1523-0430(06-048)[ZHANG]2.0.CO;2</t>
  </si>
  <si>
    <t>WOS:000252869000028</t>
  </si>
  <si>
    <t>Pullan, D; Westall, F; Hofmann, BA; Parnell, J; Cockell, CS; Edwards, HGM; Villar, SEJ; Schröder, C; Cressey, G; Marinangeli, L; Richter, L; Klingelhöfer, G</t>
  </si>
  <si>
    <t>Pullan, Derek; Westall, Frances; Hofmann, Beda A.; Parnell, John; Cockell, Charles S.; Edwards, Howell G. M.; Villar, Susana E. Jorge; Schroeder, Christian; Cressey, Gordon; Marinangeli, Lucia; Richter, Lutz; Klingelhoefer, Goestar</t>
  </si>
  <si>
    <t>Identification of morphological biosignatures in martian analogue field specimens using in situ planetary instrumentation</t>
  </si>
  <si>
    <t>ASTROBIOLOGY</t>
  </si>
  <si>
    <t>analogue; in situ; measurement; biosignatures; planetary instrumentation; Mars</t>
  </si>
  <si>
    <t>HAUGHTON IMPACT STRUCTURE; RAMAN-SPECTROSCOPIC DETECTION; YELLOWSTONE-NATIONAL-PARK; MOSSBAUER-SPECTROSCOPY; ANTARCTIC HABITATS; MERIDIANI-PLANUM; HOT-SPRINGS; EARLY EARTH; MARS; LIFE</t>
  </si>
  <si>
    <t>We have investigated how morphological biosignatures (i.e., features related to life) might be identified with an array of viable instruments within the framework of robotic planetary surface operations at Mars. This is the first time such an integrated lab-based study has been conducted that incorporates space-qualified instrumentation designed for combined in situ imaging, analysis, and geotechnics ( sampling). Specimens were selected on the basis of feature morphology, scale, and analogy to Mars rocks. Two types of morphological criteria were considered: potential signatures of extinct life ( fossilized microbial filaments) and of extant life (crypto-chasmoendolithic microorganisms). The materials originated from a variety of topical martian analogue localities on Earth, including impact craters, high-latitude deserts, and hydrothermal deposits. Our in situ payload included a stereo camera, microscope, Mossbauer spectrometer, and sampling device ( all space-qualified units from Beagle 2), and an array of commercial instruments, including a multi-spectral imager, an X-ray spectrometer ( calibrated to the Beagle 2 instrument), a micro-Raman spectrometer, and a bespoke (custom-designed) X-ray diffractometer. All experiments were conducted within the engineering constraints of in situ operations to generate realistic data and address the practical challenges of measurement. Our results demonstrate the importance of an integrated approach for this type of work. Each technique made a proportionate contribution to the overall effectiveness of our pseudo-payload for biogenic assessment of samples yet highlighted a number of limitations of current space instrument technology for in situ astrobiology.</t>
  </si>
  <si>
    <t>[Pullan, Derek] Univ Leicester, Dept Phys &amp; Astron, Space Res Ctr, Leicester LE1 7RH, Leics, England; [Westall, Frances] CNRS, Ctr Biophys Mol, Orleans, France; [Hofmann, Beda A.] Nat Hist Museum, Bern, Switzerland; [Parnell, John] Univ Aberdeen, Dept Geol, Aberdeen, Scotland; [Cockell, Charles S.] Open Univ, Planetary &amp; Space Sci Res Inst, Milton Keynes MK7 6AA, Bucks, England; [Edwards, Howell G. M.] Univ Bradford, Sch Life Sci, Dept Chem &amp; Forens Sci, Bradford BD7 1DP, W Yorkshire, England; [Villar, Susana E. Jorge] Univ Burgos, Fac Humanidades &amp; Educ, Area Geodinam Interna, Burgos, Spain; [Schroeder, Christian; Klingelhoefer, Goestar] Johannes Gutenberg Univ Mainz, Inst Anorgan Chem &amp; Analyt Chem, D-6500 Mainz, Germany; [Cressey, Gordon] Nat Hist Museum, Dept Mineral, London SW7 5BD, England; [Marinangeli, Lucia] Univ Annunzio, Int Res Sch Planetary Sci, Dipartimento Sci, Pescara, Italy; [Richter, Lutz] Inst Space Simulat, Deutsch Zentrum Luft &amp; Raumfahrt DLR, Cologne, Germany</t>
  </si>
  <si>
    <t>University of Leicester; Centre National de la Recherche Scientifique (CNRS); University of Aberdeen; Open University - UK; University of Bradford; Universidad de Burgos; Johannes Gutenberg University of Mainz; Natural History Museum London; G d'Annunzio University of Chieti-Pescara; Helmholtz Association; German Aerospace Centre (DLR)</t>
  </si>
  <si>
    <t>Pullan, D (corresponding author), Univ Leicester, Dept Phys &amp; Astron, Space Res Ctr, Univ Rd, Leicester LE1 7RH, Leics, England.</t>
  </si>
  <si>
    <t>dpu@star.le.ac.uk</t>
  </si>
  <si>
    <t>Schröder, Christian/B-3870-2009; Jorge-Villar, Susana E./A-8927-2011</t>
  </si>
  <si>
    <t>Schröder, Christian/0000-0002-7935-6039; Jorge-Villar, Susana E./0000-0003-1676-4438; MARINANGELI, Lucia/0000-0001-5417-6122; Hofmann, Beda/0000-0003-2738-8466</t>
  </si>
  <si>
    <t>Engineering and Physical Sciences Research Council [EP/D03194X/1] Funding Source: researchfish; Science and Technology Facilities Council [ST/F003102/1] Funding Source: researchfish; STFC [ST/F003102/1] Funding Source: UKRI</t>
  </si>
  <si>
    <t>Engineering and Physical Sciences Research Council(UK Research &amp; Innovation (UKRI)Engineering &amp; Physical Sciences Research Council (EPSRC)); Science and Technology Facilities Council(UK Research &amp; Innovation (UKRI)Science &amp; Technology Facilities Council (STFC)); STFC(UK Research &amp; Innovation (UKRI)Science &amp; Technology Facilities Council (STFC))</t>
  </si>
  <si>
    <t>MARY ANN LIEBERT, INC</t>
  </si>
  <si>
    <t>NEW ROCHELLE</t>
  </si>
  <si>
    <t>140 HUGUENOT STREET, 3RD FL, NEW ROCHELLE, NY 10801 USA</t>
  </si>
  <si>
    <t>1531-1074</t>
  </si>
  <si>
    <t>1557-8070</t>
  </si>
  <si>
    <t>Astrobiology</t>
  </si>
  <si>
    <t>10.1089/ast.2006.0037</t>
  </si>
  <si>
    <t>Astronomy &amp; Astrophysics; Biology; Geosciences, Multidisciplinary</t>
  </si>
  <si>
    <t>Astronomy &amp; Astrophysics; Life Sciences &amp; Biomedicine - Other Topics; Geology</t>
  </si>
  <si>
    <t>274IP</t>
  </si>
  <si>
    <t>WOS:000253995300009</t>
  </si>
  <si>
    <t>Abel, G; Bunce, E; Griffin, E</t>
  </si>
  <si>
    <t>Abel, Gary; Bunce, Emma; Griffin, Eogban</t>
  </si>
  <si>
    <t>Autumn MIST</t>
  </si>
  <si>
    <t>ASTRONOMY &amp; GEOPHYSICS</t>
  </si>
  <si>
    <t>The MIST (magnetosphere, ionosphere and solar-terrestrial physics) community has been reinvigorated with a more formal structure, including a council, and a more thematic approach to the regular community meetings. The MIST group is also becoming more involved with meetings in the wider physics and astronomy community. So far the changes have proved successful. Here we report some of the highlights of the annual November meeting, concentrating on the main three themes: Saturn, mesosphere-thermosphere-ionosphere coupling, and the solar wind.</t>
  </si>
  <si>
    <t>[Abel, Gary] British Antarctic Survey, Cambridge, MA USA; [Bunce, Emma] Univ Leicester, Leicester LE1 7RH, Leics, England; [Griffin, Eogban] Univ London Imperial Coll Sci &amp; Technol, London, England</t>
  </si>
  <si>
    <t>University of Leicester; Imperial College London</t>
  </si>
  <si>
    <t>Abel, G (corresponding author), British Antarctic Survey, Cambridge, MA USA.</t>
  </si>
  <si>
    <t>gaab@bas.ac.uk</t>
  </si>
  <si>
    <t>Abel, Gary/ABE-1765-2021; Bunce, Emma/I-9067-2016</t>
  </si>
  <si>
    <t>Abel, Gary/0000-0003-2231-5161; Bunce, Emma/0000-0002-9456-0345</t>
  </si>
  <si>
    <t>1366-8781</t>
  </si>
  <si>
    <t>1468-4004</t>
  </si>
  <si>
    <t>ASTRON GEOPHYS</t>
  </si>
  <si>
    <t>Astron. Geophys.</t>
  </si>
  <si>
    <t>Astronomy &amp; Astrophysics; Geochemistry &amp; Geophysics</t>
  </si>
  <si>
    <t>266IH</t>
  </si>
  <si>
    <t>WOS:000253427200015</t>
  </si>
  <si>
    <t>Zhu, RB; Liu, YS; Xu, H; Ma, J; Gong, ZJ; Zhao, SP</t>
  </si>
  <si>
    <t>Zhu, Renbin; Liu, Yashu; Xu, Hua; Ma, Jing; Gong, Zhijun; Zhao, Sanping</t>
  </si>
  <si>
    <t>Methane emissions from three sea animal colonies in the maritime Antarctic</t>
  </si>
  <si>
    <t>methane flux; sea animal colony; Antarctica; penguin; seal; spatial variation</t>
  </si>
  <si>
    <t>TUNDRA WETLANDS; NITROUS-OXIDE; CARBON; RECORD</t>
  </si>
  <si>
    <t>Methane (CH4) emissions from domestic animals and their excreta have been extensively studied. However, little investigation has been carried out for CH4 emissions from wild animal colonies. On a global scale, the most sea animal colonies are distributed in the maritime Antarctic. To evaluate temporal and spatial variations of CH4 fluxes from sea animal colonies in the maritime Antarctic, net CH4 fluxes were measured from the penguin, skua and seal colonies during the summertime of 2005/2006, using a static chamber technique. It was found that the CH4 emission rates from these colonies were considerably high. The mean fluxes from the wet sites of penguin, skua and seal colonies were 230.7, 142.5 and 94.1 mu gm(-2) h(-1), respectively; the fluxes from the mesic sites were 123.8, 19.8 and 23.9 mu g m(-2) h(-1), respectively. The CH4 fluxes were significantly affected by the deposition of the organic matter and nutrients from sea animal excreta, and soil water conditions. The single environmental factors cannot explain the seasonal variations of CH4 fluxes from the colonies. The fluxes from the skua colony showed a daily variation with a maximum at noon or midnight and a minimum at 20:00 h. These sea animal colonies are the hotspots of CH4 emissions in the maritime Antarctic, and their fluxes could constitute an important part of the annual CH4 budget for Antarctic tundra ecosystems. (C) 2007 Elsevier Ltd. All rights reserved.</t>
  </si>
  <si>
    <t>[Zhu, Renbin; Liu, Yashu; Gong, Zhijun; Zhao, Sanping] Univ Sci &amp; Technol China, Inst Polar Environm, Hefei 230026, Anhui, Peoples R China; [Xu, Hua; Ma, Jing] Chinese Acad Sci, Inst Soil Sci, State Key Lab Soil &amp; Sustainable Agr, Nanjing 210008, Peoples R China</t>
  </si>
  <si>
    <t>10.1016/j.atmosenv.2007.10.035</t>
  </si>
  <si>
    <t>277NK</t>
  </si>
  <si>
    <t>WOS:000254219800011</t>
  </si>
  <si>
    <t>Smith, HG; Bobrov, A; Lara, E</t>
  </si>
  <si>
    <t>Smith, Humphrey Graham; Bobrov, Anatoly; Lara, Enrique</t>
  </si>
  <si>
    <t>Diversity and biogeography of testate amoebae</t>
  </si>
  <si>
    <t>BIODIVERSITY AND CONSERVATION</t>
  </si>
  <si>
    <t>biogeography; cosmopolitanism; diversity; ecology; endemism; flagship species; fossil testates; testate amoebae</t>
  </si>
  <si>
    <t>DWELLING TESTACEAN FAUNA; FRESH-WATER; TERRESTRIAL PROTOZOA; POPULATION-DYNAMICS; COMMUNITY STRUCTURE; BYKOVSKY PENINSULA; RHIZOPODA; MICROORGANISMS; ARCELLINIDA; BIODIVERSITY</t>
  </si>
  <si>
    <t>Testate amoebae are amoeboid protists inhabiting a test (shell). They occur globally in soils, wetlands and freshwater, especially peats and mosses. They are of ancient origin, dating from at least the Mesozoic, with possible ancestors as old as the Neoproterozoic. Approximately 2,000 taxa have been described-a number which could easily rise to 4,000 with comprehensive recording. Whilst many protists appear to be cosmopolitan as morphospecies, some of the larger testate species (exceeding 100 mu m) have long been considered, controversially, to be geographically restricted. Definitive conclusions have often been confounded by gaps in distributional data and misidentification. Recent increases in recording from previously little known regions, and the rise of molecular taxonomy, have started to resolve outstanding issues-processes still far from complete. Accordingly, biogeographical studies have concentrated on flagship species-those which can be identified with certainty and are sufficiently recorded to determine their ecological ranges. Apodera vas (Certes) has been proved to be largely restricted to the Gondwanaland continents and sub-Antarctic islands, but absent from the Holartic despite the availability of much suitable habitat. An early analysis postulated a Mesozoic origin of the species and a distribution influenced by continental drift. Recent molecular evidence could imply a later origin. Either way, its current distribution is clearly influenced by the pattern of global wind currents and lack of lowland tropical habitat. By contrast a Gondwana-tropical group of species appears to be restricted to latitudes unaffected by glaciation. Instances of local endemism, such as restriction to a single island, are also known, which await molecular evidence for substantiation.</t>
  </si>
  <si>
    <t>[Smith, Humphrey Graham] Coventry Univ, Coventry, W Midlands, England; [Bobrov, Anatoly] Moscow MV Lomonosov State Univ, Fac Soil Sci, Moscow, Russia; [Lara, Enrique] Swiss Fed Res Inst WSL, Wetlands Res Grp, Lausanne, Switzerland</t>
  </si>
  <si>
    <t>Coventry University; Lomonosov Moscow State University; Swiss Federal Institutes of Technology Domain; Swiss Federal Institute for Forest, Snow &amp; Landscape Research</t>
  </si>
  <si>
    <t>Smith, HG (corresponding author), Coventry Univ, Coventry, W Midlands, England.</t>
  </si>
  <si>
    <t>apx191@cov.ac.uk</t>
  </si>
  <si>
    <t>; Lara, Enrique/N-3679-2017</t>
  </si>
  <si>
    <t>bobrov, anatoly/0000-0003-2240-384X; Lara, Enrique/0000-0001-8500-522X</t>
  </si>
  <si>
    <t>0960-3115</t>
  </si>
  <si>
    <t>1572-9710</t>
  </si>
  <si>
    <t>BIODIVERS CONSERV</t>
  </si>
  <si>
    <t>Biodivers. Conserv.</t>
  </si>
  <si>
    <t>10.1007/s10531-007-9260-9</t>
  </si>
  <si>
    <t>255WR</t>
  </si>
  <si>
    <t>WOS:000252689400008</t>
  </si>
  <si>
    <t>Al-Handal, AY; Wulff, A</t>
  </si>
  <si>
    <t>Al-Handal, Adil Y.; Wulff, Angela</t>
  </si>
  <si>
    <t>Marine benthic diatoms from Potter Cove, King George Island, Antarctica</t>
  </si>
  <si>
    <t>BOTANICA MARINA</t>
  </si>
  <si>
    <t>Antarctica; benthic; diatoms</t>
  </si>
  <si>
    <t>ROSS SEA; SPECIES BACILLARIOPHYCEAE; ARTHUR HARBOR; UV-RADIATION; SP NOV.; ICE; ASSEMBLAGES; BIOMASS; BAY; COMMUNITIES</t>
  </si>
  <si>
    <t>Antarctic benthic marine diatoms from the Potter Cove region, King George Island were studied in samples collected during the austral summer 2003. A floristic list was made to add information on the Antarctic benthic diatom distribution. A total of 84 species was identified from four localities in Potter Cove, the majority of which are of cosmopolitan distribution. The most common taxa encountered were Cocconeis spp., Gyrosigma fasciola, Navicula cf. cancellata, N. cf. perminuta, Petroneis plagiostoma and Pleurosigma obscurum. Both G. fasciola and P. obscurum are recorded for the first time from Antarctica with such common occurrence. The overall diatom population in Potter Cove appeared rather different from other diatom populations observed in Antarctic marine habitats.</t>
  </si>
  <si>
    <t>[Al-Handal, Adil Y.; Wulff, Angela] Univ Gothenburg, Dept Marine Ecol, SE-40530 Gothenburg, Sweden</t>
  </si>
  <si>
    <t>University of Gothenburg</t>
  </si>
  <si>
    <t>Al-Handal, Adil/ABH-1754-2021</t>
  </si>
  <si>
    <t>Al-Handal, Adil/0000-0003-4703-7823</t>
  </si>
  <si>
    <t>foundations of YMER; German Research Council (DFG); Wegener Institute for Polar and Marine Research, Germany</t>
  </si>
  <si>
    <t>foundations of YMER; German Research Council (DFG)(German Research Foundation (DFG)); Wegener Institute for Polar and Marine Research, Germany</t>
  </si>
  <si>
    <t>Crew and divers at Jubany Base and Dallmann Laboratory are greatly acknowledged, and in particular K. Zacher and M. Schwanitz. We thank Drs M. Poulin, K. Sabbe, and C. Riaux-Gobin, and an anonymous reviewer for greatly improving an earlier version of this manuscript. We gratefully acknowledge financial support by the foundations of YMER, Kapten Carl Stenholm, KVVS, Lennander, Langmanska and Helge Axson Johnson, the German Research Council (DFG) and Prof. C. Wiencke at the Alfred Wegener Institute for Polar and Marine Research, Germany for making this study possible.</t>
  </si>
  <si>
    <t>WALTER DE GRUYTER GMBH</t>
  </si>
  <si>
    <t>GENTHINER STRASSE 13, D-10785 BERLIN, GERMANY</t>
  </si>
  <si>
    <t>0006-8055</t>
  </si>
  <si>
    <t>1437-4323</t>
  </si>
  <si>
    <t>BOT MAR</t>
  </si>
  <si>
    <t>Bot. Marina</t>
  </si>
  <si>
    <t>10.1515/BOT.2008.007</t>
  </si>
  <si>
    <t>345MX</t>
  </si>
  <si>
    <t>WOS:000259002000006</t>
  </si>
  <si>
    <t>Ashford, JR; Jones, CM; Hofmann, EE; Everson, I; Moreno, CA; Duhamel, G; Williams, R</t>
  </si>
  <si>
    <t>Ashford, Julian R.; Jones, Cynthia M.; Hofmann, Eileen E.; Everson, Inigo; Moreno, Carlos A.; Duhamel, Guy; Williams, Richard</t>
  </si>
  <si>
    <t>Otolith chemistry indicates population structuring by the Antarctic Circumpolar Current</t>
  </si>
  <si>
    <t>CANADIAN JOURNAL OF FISHERIES AND AQUATIC SCIENCES</t>
  </si>
  <si>
    <t>TOOTHFISH DISSOSTICHUS-ELEGINOIDES; TRACE-ELEMENT ANALYSIS; PATAGONIAN TOOTHFISH; INDIAN-OCEAN; WATER MASSES; STOCK IDENTIFICATION; GENETIC-STRUCTURE; SCOTIA SEA; GROWTH; ATLANTIC</t>
  </si>
  <si>
    <t>Large-scale transport of seawater in ocean currents may generate spatially complex population structure through the advection of life stages of marine fish species. To test this, we compared the chemistry of otolith nuclei from Patagonian toothfish (Dissostichus eleginoides), presently managed as spatially discrete Populations corresponding to fishing management areas along the Antarctic Circumpolar Current (ACC), which transports water eastward around the Southern Ocean. The chemistry of otolith nuclei, laid down during early life, differed significantly between fishing areas Off South America and the Antarctic and between some Antarctic areas. However, we found significant discrepancies from expectation for a population structure corresponding to fishing areas. We also found evidence of four groups of fish with different early life chemistry: one associated with South America and three Antarctic groups showing mixing consistent with advective transport along the ACC. These results suggest that toothfish Populations are structured by their physical environment; Population abundance and persistence may rely on a restricted number of breeding members with access to spawning grounds, whereas fisheries may rely substantially on nonbreeding vagrants transported from fishing areas upstream.</t>
  </si>
  <si>
    <t>[Ashford, Julian R.; Jones, Cynthia M.] Old Dominion Univ, Ctr Quantitat Fisheries Ecol, Norfolk, VA 23529 USA; [Hofmann, Eileen E.] Old Dominion Univ, Ctr Coastal Phys Oceanog, Norfolk, VA 23529 USA; [Everson, Inigo] Anglia Polytech Univ, Sch Appl Sci, Environm Sci Res Ctr, Cambridge CB1 1PT, England; [Moreno, Carlos A.] Univ Austral Chile, Inst Ecol &amp; Evoluc, Valdivia, Chile; [Duhamel, Guy] Museum Natl Hist Nat, F-75231 Paris 05, France; [Williams, Richard] Australian Antarctic Div, Kingston, Tas 7050, Australia</t>
  </si>
  <si>
    <t>Old Dominion University; Old Dominion University; Anglia Ruskin University; Universidad Austral de Chile; Museum National d'Histoire Naturelle (MNHN); Australian Antarctic Division</t>
  </si>
  <si>
    <t>Ashford, JR (corresponding author), Old Dominion Univ, Ctr Quantitat Fisheries Ecol, Norfolk, VA 23529 USA.</t>
  </si>
  <si>
    <t>jashford@odu.edu</t>
  </si>
  <si>
    <t>Williams, Richard/AAL-4177-2020</t>
  </si>
  <si>
    <t>Williams, Richard/0000-0002-0920-1103</t>
  </si>
  <si>
    <t>CANADIAN SCIENCE PUBLISHING</t>
  </si>
  <si>
    <t>65 AURIGA DR, SUITE 203, OTTAWA, ON K2E 7W6, CANADA</t>
  </si>
  <si>
    <t>0706-652X</t>
  </si>
  <si>
    <t>1205-7533</t>
  </si>
  <si>
    <t>CAN J FISH AQUAT SCI</t>
  </si>
  <si>
    <t>Can. J. Fish. Aquat. Sci.</t>
  </si>
  <si>
    <t>10.1139/F07-158</t>
  </si>
  <si>
    <t>267YW</t>
  </si>
  <si>
    <t>WOS:000253546100001</t>
  </si>
  <si>
    <t>Fan, K; Wang, HJ; Choi, YJ</t>
  </si>
  <si>
    <t>Fan Ke; Wang HuiJun; Choi Young-Jean</t>
  </si>
  <si>
    <t>A physically-based statistical forecast model for the middle-lower reaches of the Yangtze River Valley summer rainfall</t>
  </si>
  <si>
    <t>year-to-year increment; Yangtze River Valley summer precipitation; prediction model; prediction skill</t>
  </si>
  <si>
    <t>INTERANNUAL VARIABILITY; MONSOON</t>
  </si>
  <si>
    <t>A new approach to forecast the middle-lower reaches of the Yangtze River Valley summer rainfall in June-August (JJA) is proposed in this paper. The year-to-year increment of the middle-lower reaches of the Yangtze River Valley is forecasted and hence the summer precipitation could be predicted. In this paper, DY is defined as the difference of a variable between the current year and the preceding year (year-to-year increment). YR denotes the seasonal mean precipitation rate of the middle-lower reaches of the Yangtze River Valley summer rainfall. After analyzing the atmospheric circulation anomalies in winter and spring that were associated with the DY of YR, six key predictors for the DY of YR have been identified. Then the forecast model for the DY of YR is established by using the multi-linear regression method. The predictors for the DY of YR are Antarctic Oscillation, the meridional wind shear between 850hPa and 200hPa over the Indo-Australian region, and so on. The prediction model shows a high skill for the hindcast during 1997-2006, with the average relative root mean square error is at 18%. The model can even reproduce the upward and downward trends of YR during 1984-1998 and 1998-2006. Considering that the current operational forecast models of the summer precipitation over the China region have the average forecast scores at 60%-70% and that the prediction skill for the middle-lower reaches of Yangtze River Valley summer precipitation remains quite limited up to now, thus this new approach to predict the year-to-year increment of the summer precipitation over the Yangtze River Valley (and hence the summer precipitation itself) has the potential to significantly increase the operational forecast skill of the summer precipitation.</t>
  </si>
  <si>
    <t>[Fan Ke; Wang HuiJun] Chinese Acad Sci, Inst Atmospher Phys, Nansen Zhu Int Res Ctr, Beijing 100029, Peoples R China; [Choi Young-Jean] Korea Meteorol Adm, Meteorol Res Inst, Seoul, South Korea</t>
  </si>
  <si>
    <t>Chinese Academy of Sciences; Institute of Atmospheric Physics, CAS; Korea Meteorological Administration (KMA)</t>
  </si>
  <si>
    <t>Fan, K (corresponding author), Chinese Acad Sci, Inst Atmospher Phys, Nansen Zhu Int Res Ctr, Beijing 100029, Peoples R China.</t>
  </si>
  <si>
    <t>fanke@mail.iap.ac.cn</t>
  </si>
  <si>
    <t>Fan, K/GXH-3734-2022; Fan, Ke/AAJ-2315-2020</t>
  </si>
  <si>
    <t>1861-9541</t>
  </si>
  <si>
    <t>10.1007/s11434-008-0083-1</t>
  </si>
  <si>
    <t>259XP</t>
  </si>
  <si>
    <t>WOS:000252974500017</t>
  </si>
  <si>
    <t>Siwek, M; Noubar, AB; Erdmann, R; Niemeyer, B; Galunsky, B</t>
  </si>
  <si>
    <t>Siwek, Mariana; Noubar, Amir Bari; Erdmann, Robert; Niemeyer, Bernd; Galunsky, Boris</t>
  </si>
  <si>
    <t>Application of mixed-mode oasis MCX adsorbent for chromatographic separation of selenomethionine from antarctic krill after enzymatic digestion</t>
  </si>
  <si>
    <t>CHROMATOGRAPHIA</t>
  </si>
  <si>
    <t>gas chromatography; bifunctional chromatography; Oasis MCX adsorbents; selenomethionine</t>
  </si>
  <si>
    <t>SELENOAMINO ACIDS; SELENIUM; YEAST</t>
  </si>
  <si>
    <t>The present communication describes the novel application of mixed-mode adsorbents for bifunctional chromatography. Oasis MCX mixed-mode adsorbent (Waters GmbH, Eschborn, Germany) shows a high binding capacity for Se-Met. The adsorbed selenoamino acid is easily eluted by pH change and addition of organic solvent. Determined adsorption isotherm parameters are suitable for its analytical and preparative chromatographic isolation. A chromatographic column packed with the Oasis MCX adsorbent, designed for a single use solid phase extraction, was successfully applied for bifunctional chromatographic separation of Se-Met from hydrolysed Antarctic krill samples with 85 +/- 5% recovery. The MCX-packed column was used for more than 60 runs without any change in its performance.</t>
  </si>
  <si>
    <t>[Siwek, Mariana; Noubar, Amir Bari; Erdmann, Robert; Galunsky, Boris] Hamburg Univ Technol, Inst Tech Biocatalysis, D-21071 Hamburg, Germany; [Niemeyer, Bernd] GKSS Forschungszentrum Geesthacht GmbH, Inst Coastal Res, D-21502 Geesthacht, Germany</t>
  </si>
  <si>
    <t>Hamburg University of Technology; Helmholtz Association; Helmholtz-Zentrum Hereon</t>
  </si>
  <si>
    <t>Siwek, M (corresponding author), Hamburg Univ Technol, Inst Tech Biocatalysis, Deniskestr 15, D-21071 Hamburg, Germany.</t>
  </si>
  <si>
    <t>m.siwek@tuhh.de</t>
  </si>
  <si>
    <t>VIEWEG</t>
  </si>
  <si>
    <t>WIESBADEN</t>
  </si>
  <si>
    <t>ABRAHAM-LINCOLN-STRABE 46, POSTFACH 15 47, D-65005 WIESBADEN, GERMANY</t>
  </si>
  <si>
    <t>0009-5893</t>
  </si>
  <si>
    <t>Chromatographia</t>
  </si>
  <si>
    <t>10.1365/s10337-007-0494-1</t>
  </si>
  <si>
    <t>257NQ</t>
  </si>
  <si>
    <t>WOS:000252806200016</t>
  </si>
  <si>
    <t>Changes in climate extremes, variability and signature on sub-Antarctic Marion Island</t>
  </si>
  <si>
    <t>CRITICAL THERMAL LIMITS; TERRESTRIAL ECOSYSTEMS; TEMPERATURE TOLERANCE; BREEDING SUCCESS; WATER-BALANCE; HOUSE MICE; TRENDS; PLANTS; RESPONSES; SCALE</t>
  </si>
  <si>
    <t>The ecological consequences of climate change are determined by many climate parameters, not just by the commonly investigated changes in mean temperature and rainfall. More comprehensive studies, including analyses of climate variability, extremes and aggregate changes in the climate system, can improve the understanding of the nature, and therefore possible consequences, of recent changes in climate. Here climate trends on the sub-Antarctic Marion Island are documented (between 1949 and 2003) in more detail than previously. Significant trends in biologically-relevant, and previously unexplored, parameters were observed, and the potential ecological consequences of these changes discussed. For example, the decline in precipitation experienced on the island comprises a trend for longer dry spells punctuated by fewer and smaller precipitation events. This more detailed understanding of the island's drying trends enables more accurate predictions about its impacts, including, for example, particularly severe effects on plant species growing in soils with poor water-holding capacity. Therefore, in addition to changes in average conditions, more inclusive climate analyses should also examine trends in climatic variability and extremes, for individual climate parameters as well as for the climate system as a whole.</t>
  </si>
  <si>
    <t>McGeoch, MA (corresponding author), Univ Stellenbosch, Dept Conservat Ecol &amp; Entomol, Private Bag X1, ZA-7602 Matieland, South Africa.</t>
  </si>
  <si>
    <t>mcgcoch@sun.ac.za</t>
  </si>
  <si>
    <t>1573-1480</t>
  </si>
  <si>
    <t>10.1007/s10584-007-9259-y</t>
  </si>
  <si>
    <t>243UA</t>
  </si>
  <si>
    <t>WOS:000251821600004</t>
  </si>
  <si>
    <t>Lara, A; Villalba, R; Urrutia, R</t>
  </si>
  <si>
    <t>Lara, Antonio; Villalba, Ricardo; Urrutia, Rocio</t>
  </si>
  <si>
    <t>A 400-year tree-ring record of the Puelo River summer-fall streamflow in the Valdivian Rainforest eco-region, Chile</t>
  </si>
  <si>
    <t>TEMPERATURE; RECONSTRUCTION; DENDROCLIMATOLOGY; VARIABILITY; CIRCULATION; ARGENTINA; PATTERNS; GROWTH; ANDES; LINE</t>
  </si>
  <si>
    <t>The Puelo River is a watershed shared between Chile and Argentina with a mean annual streamflow of 644 m(3) s(-1). It has a high ecologic and economic importance, including introduced farmed salmon, tourism, sports fishing and projected hydroelectricity. Using Austrocedrus chilensis and Pilgerodendron uviferum tree-ring records we reconstructed summer-fall (December-May) Puelo River streamflow, which is the first of such reconstructions developed in the Pacific domain of South America. The reconstruction goes back to 1599 and has an adjusted r(2) of 0.42. Spectral analysis of the reconstructed streamflow shows a dominant 84-year cycle which explains 25.1% of the total temporal variability. The Puelo River summer-fall streamflow shows a significant correlation (P &gt; 0.95, 1943-2002) with hydrological records throughout a vast geographic range within the Valdivian eco-region (35 to 46 degrees S). Seasonal Puelo River interannual streamflow variability is related to large-scale oceanic and atmospheric circulation features. Summer-fall streamflows showed a significant negative correlation with the Antarctic Oscillation (AAO), whereas winter-spring anomalies appear to be positively connected with sea surface temperature variations in the tropical Pacific. In general, above- and below-average discharges in winter-spring are related to El Nino and La Nina events, respectively. The temporal patterns of the observed and reconstructed records of the Puelo River streamflow show a general decreasing trend in the 1943-1999 period. Projected circulation changes for the next decades in the Southern Hemisphere would decrease summer-fall Puelo River streamflows with significant impacts on salmon production, tourism and hydropower generation.</t>
  </si>
  <si>
    <t>[Lara, Antonio] Univ Austral Chile, Inst Silvicultura, Lab Dendrocronol, Valdivia, Chile; [Lara, Antonio; Urrutia, Rocio] Minist Planning, Millennium Sci Initiat Nucleus, FORECOS Nucleus Forest Ecosyst Serv Aquat Syst Cl, Valdivia, Chile; [Villalba, Ricardo] IANIGLA, Inst Argentino Nivol Glaciol &amp; Ciencias Ambiental, Dept Dendrocronol &amp; Historia Ambiental, Mendoza, Argentina</t>
  </si>
  <si>
    <t>Universidad Austral de Chile; University Nacional Cuyo Mendoza</t>
  </si>
  <si>
    <t>Lara, A (corresponding author), Univ Austral Chile, Inst Silvicultura, Lab Dendrocronol, Casilla 567, Valdivia, Chile.</t>
  </si>
  <si>
    <t>antoniolara@uach.cl</t>
  </si>
  <si>
    <t>Urrutia-Jalabert, Rocio/0000-0002-3548-4813; Villalba, Ricardo/0000-0001-8183-0310; Lara, Antonio/0000-0003-4998-4584</t>
  </si>
  <si>
    <t>10.1007/s10584-007-9287-7</t>
  </si>
  <si>
    <t>WOS:000251821600005</t>
  </si>
  <si>
    <t>Yang, XX; Lin, XZ; Fan, TJ; Bian, J; Huang, XH</t>
  </si>
  <si>
    <t>Yang, Xiuxia; Lin, Xuezheng; Fan, Tingjun; Bian, Ji; Huang, Xiaohang</t>
  </si>
  <si>
    <t>Cloning and expression of lipP, a gene encoding a cold-adapted lipase from Moritella sp.2-5-10-1</t>
  </si>
  <si>
    <t>CURRENT MICROBIOLOGY</t>
  </si>
  <si>
    <t>STRUCTURAL FEATURES; STRAIN B11-1; PSYCHROTROPH; BIOTECHNOLOGY; TEMPERATURE; BACTERIUM; ESTERASE; STRATEGY; SEQUENCE; SERINE</t>
  </si>
  <si>
    <t>A gene (lipP, 837 bp in length) coding for a cold-adapted lipase of psychrophilic bacterium Moritella sp. 2-5-10-1 isolated from Antarctic region was cloned and sequenced in this study. The deduced amino acid sequence revealed a protein of 278 amino acid residues with a molecular mass of 30,521. The primary structure of the lipase deduced from the nucleotide sequence showed consensus pentapeptide containing the active serine [Gly-Trp-Ser-Leu-Gly] and a conserved His-Gly dipeptide in the N-terminal part of the enzyme. These sequences were involved in the lipase active site conformation. Structure factors that would allow proper enzyme flexibility at low temperatures were discussed. It was suggested that the changes in the primary structure of the psychrophilic lipases compared to the thermophilic ones could account for their ability to catalyze lipolysis at temperatures close to 0 degrees C. For expression, the sequence corresponding to the cold-adapted lipase of strain 2-5-10-1 was subcloned into the pET-28a expression vector to construct a recombinant lipase protein. Expression of the lipase by Escherichia coli BL21 (DE3) cells was observed as clear halos on 1% (vol/vol) tributyrin upon induction with IPTG at 25 degrees C.</t>
  </si>
  <si>
    <t>[Yang, Xiuxia; Fan, Tingjun] Ocean Univ China, Coll Marine Life Sci, Dept Marine Biol, Qingdao 266003, Peoples R China; [Lin, Xuezheng; Bian, Ji; Huang, Xiaohang] Inst Oceanog 1, State Ocean Adm, Qingdao 266061, Peoples R China</t>
  </si>
  <si>
    <t>Ocean University of China; First Institute of Oceanography, Ministry of Natural Resources</t>
  </si>
  <si>
    <t>Yang, XX (corresponding author), Ocean Univ China, Coll Marine Life Sci, Dept Marine Biol, Qingdao 266003, Peoples R China.</t>
  </si>
  <si>
    <t>xxyang@ouc.edu.cn</t>
  </si>
  <si>
    <t>0343-8651</t>
  </si>
  <si>
    <t>1432-0991</t>
  </si>
  <si>
    <t>CURR MICROBIOL</t>
  </si>
  <si>
    <t>Curr. Microbiol.</t>
  </si>
  <si>
    <t>10.1007/s00284-007-9051-2</t>
  </si>
  <si>
    <t>249TL</t>
  </si>
  <si>
    <t>WOS:000252252600016</t>
  </si>
  <si>
    <t>Clark, MS; Burns, G</t>
  </si>
  <si>
    <t>Clark, Melody S.; Burns, Gavin</t>
  </si>
  <si>
    <t>Characterisation of the warm acclimated protein gene (wap65) in the Antarctic plunderfish (Harpagifer antarcticus)</t>
  </si>
  <si>
    <t>DNA SEQUENCE</t>
  </si>
  <si>
    <t>Harpagifer; wap65; acclimation; climate change</t>
  </si>
  <si>
    <t>HEMOPEXIN-LIKE PROTEIN; TEMPERATURE-ACCLIMATION; CARASSIUS-AURATUS; EXPRESSION; GOLDFISH; FISHES; AFFINITY; MEDAKA; HEME; TOOL</t>
  </si>
  <si>
    <t>Physiological adaptation to increased environmental temperatures has been studied experimentally in a number of fish species, with the up-regulation of several genes identified as being associated with the process, such as the warm-acclimated protein (wap65). This article describes the cloning and characterisation of the wap65-2 gene from the Antarctic plunderfish (Harpagifer antarcticus). The transcriptional expression of this gene in response to elevated seawater temperatures over a time course series is presented. Initially there is strong down-regulation of this gene to a maximum of 40-fold within 4 h, followed by recovery to almost control levels within 48 h, indicating that this gene does not play a role in the potential temperature adaptation of H. antarcticus.</t>
  </si>
  <si>
    <t>[Clark, Melody S.; Burns, Gavin] British Antarctic Survey, NERC, Cambridge CB3 0ET, England</t>
  </si>
  <si>
    <t>Clark, MS (corresponding author), British Antarctic Survey, NERC, High Cross,Madingley Rd, Cambridge CB3 0ET, England.</t>
  </si>
  <si>
    <t>Clark, Melody/0000-0002-3442-3824</t>
  </si>
  <si>
    <t>INFORMA HEALTHCARE</t>
  </si>
  <si>
    <t>52 VANDERBILT AVE, NEW YORK, NY 10017 USA</t>
  </si>
  <si>
    <t>1042-5179</t>
  </si>
  <si>
    <t>DNA Seq.</t>
  </si>
  <si>
    <t>10.1080/10425170701388586</t>
  </si>
  <si>
    <t>Biotechnology &amp; Applied Microbiology; Genetics &amp; Heredity</t>
  </si>
  <si>
    <t>290MF</t>
  </si>
  <si>
    <t>WOS:000255126200008</t>
  </si>
  <si>
    <t>Rozhkova, AY; Dmitrenko, IA; Baukh, D; Timokhov, LA</t>
  </si>
  <si>
    <t>Rozhkova, A. Yu.; Dmitrenko, I. A.; Baukh, D.; Timokhov, L. A.</t>
  </si>
  <si>
    <t>Variations in characteristics of the Barents branch of the Atlantic water in the nansen basin under the influence of atmospheric circulation over the Barents sea</t>
  </si>
  <si>
    <t>DOKLADY EARTH SCIENCES</t>
  </si>
  <si>
    <t>ARCTIC-OCEAN</t>
  </si>
  <si>
    <t>Russian State Hydrometeorol Univ, St Petersburg, Russia; Univ Alaska, Int Arctic Res Ctr, Fairbanks, AK 99701 USA; Univ Kiel, Leibnitz Inst Marine Sci, D-24098 Kiel, Germany; Arctic &amp; Antarctic Res Inst, St Petersburg 199226, Russia</t>
  </si>
  <si>
    <t>Russian State Hydrometeorological University; University of Alaska System; University of Alaska Fairbanks; University of Kiel; Helmholtz Association; GEOMAR Helmholtz Center for Ocean Research Kiel; Arctic &amp; Antarctic Research Institute</t>
  </si>
  <si>
    <t>Rozhkova, AY (corresponding author), Russian State Hydrometeorol Univ, St Petersburg, Russia.</t>
  </si>
  <si>
    <t>1028-334X</t>
  </si>
  <si>
    <t>1531-8354</t>
  </si>
  <si>
    <t>DOKL EARTH SCI</t>
  </si>
  <si>
    <t>Dokl. Earth Sci.</t>
  </si>
  <si>
    <t>10.1134/S1028334X08010339</t>
  </si>
  <si>
    <t>289CH</t>
  </si>
  <si>
    <t>WOS:000255032100033</t>
  </si>
  <si>
    <t>Chen, JL; Wilson, CR; Tapley, BD; Blankenship, D; Young, D</t>
  </si>
  <si>
    <t>Chen, J. L.; Wilson, C. R.; Tapley, B. D.; Blankenship, D.; Young, D.</t>
  </si>
  <si>
    <t>Antarctic regional ice loss rates from GRACE</t>
  </si>
  <si>
    <t>West Antarctica; ice loss; Antarctic Peninsula; satellite gravimetry; GRACE; gravity change</t>
  </si>
  <si>
    <t>MASS-BALANCE; WEST ANTARCTICA; SEA-LEVEL; PENINSULA; EARTH; SHEETS; OCEAN; MODEL</t>
  </si>
  <si>
    <t>Using recent improved time-variable gravity solutions from the Gravity Recovery and Climate Experiment (GRACE), we estimate rates of Antarctic ice mass change for the period January 2003 through September 2006. Combined improvements in data and filtering techniques allow observation of ice loss in the northern Antarctic Peninsula (AP) and along the coast of the west and central Amundsen Sea Embayment (ASE) in West Antarctica. There is also evidence of ice loss along the coast near the Stancomb-Wills (STA) and Jutulstraumen (JUT) glaciers in Queen Maud Land. Apparent rates are adjusted for influences of limited spatial resolution, filtering, and estimated postglacial rebound (PGR) to obtain ice loss rates for the northern AP, coastal ASE, and STA/JUT of -28.8 +/- 7.9, -81 +/- 17, and -16.7 +/- 9.7 km(3)/yr, respectively. This is the first estimate for the northern AP from satellite gravity data. The ASE estimate (-81 +/- 17km(3)/yr) is consistent with a previous value (-77 +/- 14 km(3)/yr) using an earlier GRACE data release. These results indicate significant improvement in GRACE data quality, increased spatial resolution, and applicability of GRACE data to a wider class of problems than previously possible. (c) 2007 Elsevier B.V. All rights reserved.</t>
  </si>
  <si>
    <t>[Chen, J. L.; Wilson, C. R.; Tapley, B. D.] Univ Texas Austin, Space Res Ctr, Austin, TX 78712 USA; [Wilson, C. R.] Univ Texas Austin, Dept Geol Sci, Austin, TX USA; [Blankenship, D.; Young, D.] Univ Texas Austin, Inst Geophys, Austin, TX USA; [Blankenship, D.; Young, D.] Univ Texas Austin, Jackson Sch Geosci, Austin, TX USA</t>
  </si>
  <si>
    <t>University of Texas System; University of Texas Austin; University of Texas System; University of Texas Austin; University of Texas System; University of Texas Austin; University of Texas System; University of Texas Austin</t>
  </si>
  <si>
    <t>Chen, JL (corresponding author), Univ Texas Austin, Space Res Ctr, Austin, TX 78712 USA.</t>
  </si>
  <si>
    <t>chen@csr.utexas.edu</t>
  </si>
  <si>
    <t>Blankenship, Donald D./G-5935-2010; Young, Duncan/G-6256-2010</t>
  </si>
  <si>
    <t>Chen, Jianli/0000-0001-5405-8441; Young, Duncan/0000-0002-6866-8176; Tapley, Byron/0000-0003-3689-5750</t>
  </si>
  <si>
    <t>FEB 1</t>
  </si>
  <si>
    <t>10.1016/j.epsl.2007.10.057</t>
  </si>
  <si>
    <t>264GC</t>
  </si>
  <si>
    <t>WOS:000253274500010</t>
  </si>
  <si>
    <t>Comiti, F; Andreoli, A; Mao, L; Lenzi, MA</t>
  </si>
  <si>
    <t>Comiti, Francesco; Andreoli, Andrea; Mao, Luca; Lenzi, Mario Aristide</t>
  </si>
  <si>
    <t>Wood storage in three mountain streams of the Southern Andes and its hydro-morphological effects</t>
  </si>
  <si>
    <t>woody debris; channel morphology; flow resistance; mountain basins; Nothofagus forests</t>
  </si>
  <si>
    <t>TIERRA-DEL-FUEGO; STEP-POOL STREAMS; CHANNEL MORPHOLOGY; FLOW RESISTANCE; NEW-ZEALAND; FOREST STREAMS; NATIVE FOREST; DEBRIS; WASHINGTON; ARGENTINA</t>
  </si>
  <si>
    <t>This study analyses large wood (LW) storage and the associated effects on channel morphology and How hydraulics in three third-order mountain basins (drainage area 9-12 km(2)) covered in old-growth Nothofagus forests, ranging from the temperate warm Chilean Andean Cordillera to the sub-Antarctic Tierra del Fuego (Argentina). Amount, characteristics and dimensions of large wood (&gt;10 cm diameter, &gt;1 m long) were recorded, as well as their effects on stream morphology, hydraulics and sediment storage. Results show that major differences in LW abundance exist even between adjacent basins, as a result of different disturbance histories and basin dissection. Massive LW volumes (i.e. &gt;1 000 m(3) ha(-1)) can be reached in basins disturbed by fires followed by mass movements and debris flows. Potential energy dissipation resulting from wood dams is about a quarter of the total elevation drop in two streams, with a gross sediment volume stored behind wood dams of around 1000 m(3) km(-1), which appears to be of the same order as the annual sediment yield. Finally, the presence of wood dams may increase flow resistance by up to one order of magnitude. Copyright (C) 2007 John Wiley &amp; Sons, Ltd.</t>
  </si>
  <si>
    <t>[Comiti, Francesco; Andreoli, Andrea; Mao, Luca; Lenzi, Mario Aristide] Univ Padua, Dept Land &amp; Agroforest Environm, I-35020 Legnaro, PD, Italy</t>
  </si>
  <si>
    <t>Mao, L (corresponding author), Univ Padua, Dept Land &amp; Agroforest Environm, Viale Univ 16, I-35020 Legnaro, PD, Italy.</t>
  </si>
  <si>
    <t>Luca.mao@unipd.it</t>
  </si>
  <si>
    <t>Andreoli, Andrea/G-3872-2013; Mao, Luca/C-6866-2012</t>
  </si>
  <si>
    <t>Andreoli, Andrea/0000-0001-8419-8648; Mao, Luca/0000-0001-8619-5221; COMITI, Francesco/0000-0001-9840-0165</t>
  </si>
  <si>
    <t>10.1002/esp.1541</t>
  </si>
  <si>
    <t>270BO</t>
  </si>
  <si>
    <t>WOS:000253695100006</t>
  </si>
  <si>
    <t>Weathering of granite in Antarctica: I. Light penetration into rock and implications for rock weathering and endolithic communities</t>
  </si>
  <si>
    <t>light penetration; weathering; endolithic organisms; granite; Antarctica</t>
  </si>
  <si>
    <t>CRYPTOENDOLITHIC MICROBIAL ENVIRONMENT; NORTHERN VICTORIA LAND; ROSS DESERT; TEMPERATURE; MODELS</t>
  </si>
  <si>
    <t>Where rocks are composed of translucent minerals, light penetrates the rock and, in so doing, impacts on the thermal conditions. Where minerals are not translucent all the heat transformation must be at the rock surface, and steep thermal gradients can occur. Where light does penetrate, a component of the incoming radiation is transformed to heat at differing depths within the rock, thereby decreasing the thermal gradient. Equally, light transmissive minerals facilitate endolithic communities, which can also play a role in rock weathering. The attribute of light transmission within rock and the impact this has on the resulting thermal conditions has not been considered within rock weathering studies. An attempt was made to monitor the amount of light penetrating the outer 2 mm of coarse granite under Antarctic summer conditions and to evaluate the thermal impact of this. It was found that the amount of light penetration at this site exceeded modeled or postulated values from biological studies and that it could significantly impact the thermal conditions within the outer shell of the rock. Although the resulting data highlighted a number of flaws in the experimental procedure, sufficient information was generated to provide the first assessment of the range of thermal responses due to light transmissive minerals in rock. Copyright (C) 2007 John Wiley &amp; Sons, Ltd.</t>
  </si>
  <si>
    <t>[Hall, Kevin] Univ Pretoria, Dept Geog Geoinformat &amp; Meteorol, ZA-0002 Pretoria, South Africa; [Guglielmin, Mauro] Insubria Univ, Fac Sci, Varese, Italy; [Strini, Andrea] Univ Milan, Dipartimento Sci Terra, I-20133 Milan, Italy</t>
  </si>
  <si>
    <t>10.1002/esp.1618</t>
  </si>
  <si>
    <t>WOS:000253695100009</t>
  </si>
  <si>
    <t>Araújo, MB; Nogués-Bravo, D; Diniz-Filho, JAF; Haywood, AM; Valdes, PJ; Rahbek, C</t>
  </si>
  <si>
    <t>Araujo, Miguel B.; Nogues-Bravo, David; Diniz-Filho, Jose Alexandre F.; Haywood, Alan M.; Valdes, Paul J.; Rahbek, Carsten</t>
  </si>
  <si>
    <t>Quaternary climate changes explain diversity among reptiles and amphibians</t>
  </si>
  <si>
    <t>SPECIES RICHNESS; LATITUDINAL GRADIENTS; GLOBAL PATTERNS; SCALE PATTERNS; RANGE-SIZE; ENERGY; DISTRIBUTIONS; EVOLUTIONARY; HISTORY; WATER</t>
  </si>
  <si>
    <t>It is widely believed that contemporary climate determines large-scale patterns of species richness. An alternative view proposes that species richness reflects biotic responses to historic climate changes. These competing contemporary climate vs historic climate hypotheses have been vigorously debated without reaching consensus. Here, we test the proposition that European species richness of reptiles and amphibians is driven by climate changes in the Quaternary. We find that climate stability between the Last Glacial Maximum (LGM) and the present day is a better predictor of species richness than contemporary climate; and that the 0 degrees C isotherm of the LGM delimits the distributions of narrow-ranging species, whereas the current 0 degrees C isotherm limits the distributions of wide-ranging species. Our analyses contradict previous studies of large-scale species richness patterns and support the view that historic climate can contribute to current species richness independently of and at least as much as contemporary climate.</t>
  </si>
  <si>
    <t>[Araujo, Miguel B.; Nogues-Bravo, David] CSIC, Natl Museum Nat Sci, Dept Biodivers &amp; Evolut Biol, ES-28006 Madrid, Spain; [Araujo, Miguel B.; Nogues-Bravo, David] Univ Copenhagen, Ctr Macroecol, DK-2100 Copenhagen, Denmark; [Diniz-Filho, Jose Alexandre F.] Univ Fed Goias, Dept Gen Biol, BR-74001970 Goiania, Go, Brazil; [Haywood, Alan M.] British Antarctic Survey, Natl Environm Res Council, Cambridge CB3 0ET, England; [Valdes, Paul J.] Univ Bristol, Sch Geog Sci, Bristol BS8 1SS, Avon, England; [Rahbek, Carsten] Univ Copenhagen, Ctr Mactroecol, DK-2100 Copenhagen, Denmark</t>
  </si>
  <si>
    <t>Consejo Superior de Investigaciones Cientificas (CSIC); University of Copenhagen; Universidade Federal de Goias; UK Research &amp; Innovation (UKRI); Natural Environment Research Council (NERC); NERC British Antarctic Survey; University of Bristol; University of Copenhagen</t>
  </si>
  <si>
    <t>Araújo, MB (corresponding author), CSIC, Natl Museum Nat Sci, Dept Biodivers &amp; Evolut Biol, C Jose Gutierrez Abascal 2, ES-28006 Madrid, Spain.</t>
  </si>
  <si>
    <t>maraujo@mncn.csic.es</t>
  </si>
  <si>
    <t>Araújo, Miguel B/B-6117-2008; Valdes, Paul J/C-4129-2013; Rahbek, Carsten/D-9372-2013; Valdes, Paul/T-2004-2019; Rahbek, Carsten/L-1129-2013; Diniz-Filho, Jose Alexandre/D-9405-2013</t>
  </si>
  <si>
    <t>Araújo, Miguel B/0000-0002-5107-7265; Valdes, Paul/0000-0002-1902-3283; Nogues-Bravo, David/0000-0002-4060-0153; Rahbek, Carsten/0000-0003-4585-0300; Diniz-Filho, Jose Alexandre/0000-0002-0967-9684</t>
  </si>
  <si>
    <t>10.1111/j.2007.0906-7590.05318.x</t>
  </si>
  <si>
    <t>266ZN</t>
  </si>
  <si>
    <t>WOS:000253477500003</t>
  </si>
  <si>
    <t>Sandvik, H; Erikstad, KE</t>
  </si>
  <si>
    <t>Sandvik, Hanno; Erikstad, Kjell Einar</t>
  </si>
  <si>
    <t>Seabird life histories and climatic fluctuations: a phylogenetic-comparative time series analysis of North Atlantic seabirds</t>
  </si>
  <si>
    <t>POPULATION-DYNAMICS; FRATERCULA-ARCTICA; CALIFORNIA CURRENT; ANTARCTIC SEABIRD; ADULT SURVIVAL; REGIME SHIFTS; HEADED GULLS; EVOLUTION; VARIABILITY; RESPONSES</t>
  </si>
  <si>
    <t>In the light of the predicted changes in climate as a consequence of global warming, it is a major concern how animal species will respond to altered meteorological and oceanographic conditions. Seabirds constitute a diverse group of marine top predators which have relatively low fecundity and high annual survival rates. In order to predict effects of climate change, it is a necessary precondition to first understand responses to naturally occurring climatic fluctuations. While the ecological effects of different large-scale climatic phenomena have received much attention in the recent past, the factors determining the responses of seabirds are still little understood. We analyze more than a hundred previously published time series of seabird offspring production and adult survival rates in the North Atlantic in order to detect climatic signals in this data base. As our analyses are phylogenetic-comparative, we are able to search for patterns across species. Using the correlation of these parameters with the North Atlantic Oscillation (NAO) as a measure of responsiveness to climatic variability, we find that effects of climate on either parameters considered are not more common than expected by chance. The magnitudes of the responsivenesses were entirely randomly distributed throughout the seabird phylogeny, but were not strongly related to the explanatory variables considered. However, some tendencies indicate that both life-history traits and feeding ecology may influence how seabirds respond to climatic variability. An explanation of those patterns based on life-history theory is given.</t>
  </si>
  <si>
    <t>[Sandvik, Hanno] Univ Tromso, Dept Biol, NO-9037 Tromso, Norway; [Sandvik, Hanno; Erikstad, Kjell Einar] Norwegian Inst Nat Res, Polar Environm Ctr, NO-9296 Tromso, Norway</t>
  </si>
  <si>
    <t>UiT The Arctic University of Tromso; Norwegian Institute Nature Research</t>
  </si>
  <si>
    <t>Sandvik, H (corresponding author), Univ Tromso, Dept Biol, NO-9037 Tromso, Norway.</t>
  </si>
  <si>
    <t>hanno@evol.no</t>
  </si>
  <si>
    <t>Bond, Alexander L/A-3786-2010; Strubbe, Diederik/J-4299-2015; Sandvik, Hanno/B-5118-2008</t>
  </si>
  <si>
    <t>Sandvik, Hanno/0000-0002-5889-1606</t>
  </si>
  <si>
    <t>10.1111/j.2007.0906-7590.05090.x</t>
  </si>
  <si>
    <t>WOS:000253477500010</t>
  </si>
  <si>
    <t>Rich, VI; Konstantinidis, K; DeLong, EF</t>
  </si>
  <si>
    <t>Rich, Virginia I.; Konstantinidis, Konstantinos; DeLong, Edward F.</t>
  </si>
  <si>
    <t>Design and testing of 'genome-proxy' microarrays to profile marine microbial communities</t>
  </si>
  <si>
    <t>ENVIRONMENTAL MICROBIOLOGY</t>
  </si>
  <si>
    <t>16S RIBOSOMAL-RNA; OLIGONUCLEOTIDE MICROARRAY; PROCHLOROCOCCUS ECOTYPES; DIVERSITY; GENES; POPULATIONS; ECOLOGY; HYBRIDIZATION; PROKARYOTES; SEQUENCES</t>
  </si>
  <si>
    <t>Microarrays are useful tools for detecting and quantifying specific functional and phylogenetic genes in natural microbial communities. In order to track uncultivated microbial genotypes and their close relatives in an environmental context, we designed and implemented a 'genome-proxy' microarray that targets microbial genome fragments recovered directly from the environment. Fragments consisted of sequenced clones from large-insert genomic libraries from microbial communities in Monterey Bay, the Hawaii Ocean Time-series station ALOHA, and Antarctic coastal waters. In a prototype array, we designed probe sets to 13 of the sequenced genome fragments and to genomic regions of the cultivated cyanobacterium Prochlorococcus MED4. Each probe set consisted of multiple 70-mers, each targeting an individual open reading frame, and distributed along each similar to 40-160 kbp contiguous genomic region. The targeted organisms or clones, and close relatives, were hybridized to the array both as pure DNA mixtures and as additions of cells to a background of coastal seawater. This prototype array correctly identified the presence or absence of the target organisms and their relatives in laboratory mixes, with negligible cross-hybridization to organisms having &lt;= similar to 75% genomic identity. In addition, the array correctly identified target cells added to a background of environmental DNA, with a limit of detection of similar to 0.1% of the community, corresponding to similar to 10(3) cells ml(-1) in these samples. Signal correlated to cell concentration with an R-2 of 1.0 across six orders of magnitude. In addition, the array could track a related strain (at 86% genomic identity to that targeted) with a linearity of R-2 = 0.9999 and a limit of detection of similar to 1% of the community. Closely related genotypes were distinguishable by differing hybridization patterns across each probe set. This array's multiple-probe, 'genome-proxy' approach and consequent ability to track both target genotypes and their close relatives is important for the array's environmental application given the recent discoveries of considerable intrapopulation diversity within marine microbial communities.</t>
  </si>
  <si>
    <t>[Rich, Virginia I.; DeLong, Edward F.] MIT, WHOI Joint Program Biol Oceanog, Cambridge, MA 02139 USA; [Konstantinidis, Konstantinos; DeLong, Edward F.] MIT, Dept Civil &amp; Environm Engn, Cambridge, MA 02139 USA</t>
  </si>
  <si>
    <t>Massachusetts Institute of Technology (MIT); Massachusetts Institute of Technology (MIT)</t>
  </si>
  <si>
    <t>DeLong, EF (corresponding author), MIT, WHOI Joint Program Biol Oceanog, 48-427,15 Vassar St, Cambridge, MA 02139 USA.</t>
  </si>
  <si>
    <t>delong@mit.edu</t>
  </si>
  <si>
    <t>Konstantinidis, Kostas/ABE-7113-2020</t>
  </si>
  <si>
    <t>Konstantinidis, Kostas/0000-0002-0954-4755</t>
  </si>
  <si>
    <t>1462-2912</t>
  </si>
  <si>
    <t>1462-2920</t>
  </si>
  <si>
    <t>ENVIRON MICROBIOL</t>
  </si>
  <si>
    <t>Environ. Microbiol.</t>
  </si>
  <si>
    <t>10.1111/j.1462-2920.2007.01471.x</t>
  </si>
  <si>
    <t>250SM</t>
  </si>
  <si>
    <t>WOS:000252320800020</t>
  </si>
  <si>
    <t>Clarke, A; Rothery, P</t>
  </si>
  <si>
    <t>Clarke, Andrew; Rothery, Peter</t>
  </si>
  <si>
    <t>Scaling of body temperature in mammals and birds</t>
  </si>
  <si>
    <t>scaling; mass; temperature; mammal; bird</t>
  </si>
  <si>
    <t>BASAL METABOLIC-RATE; SIZE; EXPONENTS</t>
  </si>
  <si>
    <t>We examine variation associated with phylogeny in the scaling of body temperature in endotherms, using data from 596 species of mammal and 490 species of bird. Among higher groups of mammals there is statistically significant scaling of body temperature with mass in Marsupialia (positive), Ferae and Ungulata (both negative). In mammalian orders where data are available for at least 10 species, scaling is negative in three orders (Carnivora, Erinaceomorpha and Artiodactyla), positive in one (Chiroptera) and not significant in seven others. There is no relationship apparent between the scaling of body temperature and the existence of gut fermentation. As expected, monotremes exhibit the lowest body temperatures, but within marsupials diprotodonts have a mean body temperature higher than several placental groups; the traditional ranking of body temperatures in the sequence monotremes - marsupials - placentals is thus misleading. In birds, scaling relationships are significant only for Ciconiiformes (strongly negative) and Passeriformes (weakly positive). When allowance is made for phylogenetic effects, there is no significant relationship between temperature in body mass in mammals overall, but an inverse and almost significant relationship in birds. This study indicates a complex relationship between body mass, body temperature and metabolic rate in mammals and birds, mediated through ecology.</t>
  </si>
  <si>
    <t>[Clarke, Andrew] British Antarctic Survey, NERC, Cambridge CB3 0ET, England; [Rothery, Peter] NERC, Ctr Ecol &amp; Hydrol, Cambridge, England</t>
  </si>
  <si>
    <t>UK Research &amp; Innovation (UKRI); Natural Environment Research Council (NERC); NERC British Antarctic Survey; UK Research &amp; Innovation (UKRI); Natural Environment Research Council (NERC); NERC British Antarctic Survey; UK Centre for Ecology &amp; Hydrology (UKCEH)</t>
  </si>
  <si>
    <t>Clarke, A (corresponding author), British Antarctic Survey, NERC, Madingley Rd,High Cross, Cambridge CB3 0ET, England.</t>
  </si>
  <si>
    <t>NERC [bas010015] Funding Source: UKRI; Natural Environment Research Council [bas010015, CEH010021] Funding Source: researchfish</t>
  </si>
  <si>
    <t>10.1111/j.1365-2435.2007.01341.x</t>
  </si>
  <si>
    <t>252JU</t>
  </si>
  <si>
    <t>WOS:000252443600008</t>
  </si>
  <si>
    <t>Mikhalsky, EV</t>
  </si>
  <si>
    <t>Mikhalsky, E. V.</t>
  </si>
  <si>
    <t>Age of the Earth's crust and the Nd isotopic composition of the mantle sources of East Antarctic complexes</t>
  </si>
  <si>
    <t>GEOCHEMISTRY INTERNATIONAL</t>
  </si>
  <si>
    <t>PRINCE-CHARLES-MOUNTAINS; DRONNING-MAUD-LAND; CONTINENTAL-CRUST; VOLCANIC-ROCKS; SM-ND; NAPIER COMPLEX; RB-SR; U-PB; METAMORPHISM; CONSTRAINTS</t>
  </si>
  <si>
    <t>All Russia Res Inst Geol &amp; Mineral Resources Worl, St Petersburg 190121, Russia</t>
  </si>
  <si>
    <t>A.P. Karpinsky Russian Geological Research Institute (VSEGEI)</t>
  </si>
  <si>
    <t>Mikhalsky, EV (corresponding author), All Russia Res Inst Geol &amp; Mineral Resources Worl, Angliiskii pr 1, St Petersburg 190121, Russia.</t>
  </si>
  <si>
    <t>emikhalsky@mail.ru</t>
  </si>
  <si>
    <t>0016-7029</t>
  </si>
  <si>
    <t>1556-1968</t>
  </si>
  <si>
    <t>GEOCHEM INT+</t>
  </si>
  <si>
    <t>Geochem. Int.</t>
  </si>
  <si>
    <t>10.1134/S0016702908020067</t>
  </si>
  <si>
    <t>280OL</t>
  </si>
  <si>
    <t>WOS:000254436000006</t>
  </si>
  <si>
    <t>Rubin, AE; Ziegler, K; Young, ED</t>
  </si>
  <si>
    <t>Rubin, Alan E.; Ziegler, Karen; Young, Edward D.</t>
  </si>
  <si>
    <t>Size scales over which ordinary chondrites and their parent asteroids are homogeneous in oxidation state and oxygen-isotopic composition</t>
  </si>
  <si>
    <t>GEOCHIMICA ET COSMOCHIMICA ACTA</t>
  </si>
  <si>
    <t>DIFFUSION; OLIVINE; CONSTRAINTS; METEORITES; CHONDRULES; BODY; FRAGMENTATION; MECHANISMS; PETROLOGY; PYROXENE</t>
  </si>
  <si>
    <t>Literature data demonstrate that on a global, asteroid-wide scale (plausibly on the order of 100 km), ordinary chondrites (OC) have heterogeneous oxidation states and O-isotopic compositions (represented, respectively, by the mean olivine Fa and bulk Delta O-17 compositions of equilibrated samples). Samples analyzed here include: (a) two H5 chondrite Antarctic finds (ALHA79046 and TIL 82415) that have the same cosmic-ray exposure age (7.6 Ma) and were probably within similar to 1 km of each other when they were excavated from the H-chondrite parent body, (b) different individual stones from the Holbrook L/LL6 fall that were probably within similar to 1 m of each other when their parent meteoroid penetrated the Earth's atmosphere, and (c) drill cores from a large slab of the Estacado H6 find located within a few tens of centimeters of each other. Our results indicate that OC are heterogeneous in their bulk oxidation state and O-isotopic composition on 100-km-size scales, but homogeneous on meter-, decimeter- and centimeter-size scales. (On kilometer size scales, oxidation state is heterogeneous, but 0 isotopes appear to be homogeneous.) The asteroid-wide heterogeneity in oxidation state and O-isotopic composition was inherited from the solar nebula. The homogeneity on small size scales was probably caused in part by fluid-assisted metamorphism and mainly by impact-gardening processes (which are most effective at mixing target materials on scales of &lt;= 1 m). (c) 2007 Elsevier Ltd. All rights reserved.</t>
  </si>
  <si>
    <t>[Rubin, Alan E.; Young, Edward D.] Univ Calif Los Angeles, Inst Geophys &amp; Planetary Phys, Los Angeles, CA 90095 USA; [Ziegler, Karen; Young, Edward D.] Univ Calif Los Angeles, Dept Earth &amp; Space Sci, Los Angeles, CA 90095 USA</t>
  </si>
  <si>
    <t>Rubin, AE (corresponding author), Univ Calif Los Angeles, Inst Geophys &amp; Planetary Phys, Los Angeles, CA 90095 USA.</t>
  </si>
  <si>
    <t>Young, Edward/0000-0002-1299-0801</t>
  </si>
  <si>
    <t>0016-7037</t>
  </si>
  <si>
    <t>1872-9533</t>
  </si>
  <si>
    <t>GEOCHIM COSMOCHIM AC</t>
  </si>
  <si>
    <t>Geochim. Cosmochim. Acta</t>
  </si>
  <si>
    <t>10.1016/j.gca.2007.11.023</t>
  </si>
  <si>
    <t>255ML</t>
  </si>
  <si>
    <t>WOS:000252662000016</t>
  </si>
  <si>
    <t>Schouten, S; Eldrett, J; Greenwood, DR; Harding, I; Baas, M; Damsté, JSS</t>
  </si>
  <si>
    <t>Schouten, Stefan; Eldrett, James; Greenwood, David R.; Harding, Ian; Baas, Marianne; Damste, Jaap S. Sinninghe</t>
  </si>
  <si>
    <t>Onset of long-term cooling of Greenland near the Eocene-Oligocene boundary as revealed by branched tetraether lipids</t>
  </si>
  <si>
    <t>branched tetraether lipids; air temperature; Eocene; Oligocene; Greenland</t>
  </si>
  <si>
    <t>TERRESTRIAL ORGANIC-MATTER; ICE; GLACIATION; TRANSITION; EVOLUTION</t>
  </si>
  <si>
    <t>The Eocene-Oligocene (E-O) boundary interval is considered to be one of the major transitions in Earth's climate, witnessing the first major expansion of the East Antarctic Ice Sheet. However, the extent of the associated climatic cooling, especially for high northern latitude continental landmasses, is poorly constrained. In this study we reconstruct the first mean annual air temperature (MAAT) for the Greenland landmass during the late Eocene and early Oligocene by applying a new proxy based on the distribution of branched tetraether lipids derived from soil bacteria preserved in a marine sediment core from the Greenland Basin. The temperature estimates are compared with a composite continental temperature record based on bioclimatic analysis of pollen assemblages. Both proxies reveal comparable late Eocene MAATs of similar to 13-15 degrees C and a gradual long-term cooling of similar to 3-5 degrees C starting near the E-O boundary. These data are in agreement with other MAAT reconstructions from northern midlatitude continents and suggest a general cooling of the Northern Hemisphere during the E-O transition.</t>
  </si>
  <si>
    <t>[Schouten, Stefan; Baas, Marianne; Damste, Jaap S. Sinninghe] Royal Netherlands Inst Sea Res, Dept Marine Biogeochem &amp; Toxicol, NL-1790 AB Den Burg, Netherlands; [Eldrett, James] Shell UK Explorat &amp; Product, Aberdeen AB12 3FY, Scotland; [Greenwood, David R.] Brandon Univ, Dept Zool, Brandon, MB R7A 6A9, Canada; [Harding, Ian] Univ Southampton, Natl Oceanog Ctr, Sch Ocean &amp; Earth Sci, Southampton SO14 3ZH, Hants, England</t>
  </si>
  <si>
    <t>Utrecht University; Royal Netherlands Institute for Sea Research (NIOZ); Brandon University; NERC National Oceanography Centre; University of Southampton</t>
  </si>
  <si>
    <t>Schouten, S (corresponding author), Royal Netherlands Inst Sea Res, Dept Marine Biogeochem &amp; Toxicol, POB 59, NL-1790 AB Den Burg, Netherlands.</t>
  </si>
  <si>
    <t>Harding, Ian C/K-3320-2012; Greenwood, David R./C-2758-2008; Sinninghe Damste, Jaap/F-6128-2011</t>
  </si>
  <si>
    <t>Greenwood, David R./0000-0002-8569-9695; Eldrett, James/0000-0001-5196-3112; Sinninghe Damste, Jaap/0000-0002-8683-1854; Harding, Ian/0000-0003-4281-0581</t>
  </si>
  <si>
    <t>10.1130/G24332A.1</t>
  </si>
  <si>
    <t>257WN</t>
  </si>
  <si>
    <t>WOS:000252829600013</t>
  </si>
  <si>
    <t>Thomas, E</t>
  </si>
  <si>
    <t>Thomas, Ellen</t>
  </si>
  <si>
    <t>Descent into the Icehouse</t>
  </si>
  <si>
    <t>CARBON-DIOXIDE CONCENTRATIONS; ANTARCTIC GLACIATION; EOCENE; CLIMATE; ICE</t>
  </si>
  <si>
    <t>[Thomas, Ellen] Yale Univ, Dept Geol &amp; Geophys, New Haven, CT 06520 USA; [Thomas, Ellen] Wesleyan Univ, Dept Earth &amp; Environm Sci, Middletown, CT 06459 USA</t>
  </si>
  <si>
    <t>Yale University; Wesleyan University</t>
  </si>
  <si>
    <t>Thomas, E (corresponding author), Yale Univ, Dept Geol &amp; Geophys, POB 6666, New Haven, CT 06520 USA.</t>
  </si>
  <si>
    <t>Thomas, Ellen/JVO-1734-2024</t>
  </si>
  <si>
    <t>Thomas, Ellen/0000-0002-7141-9904</t>
  </si>
  <si>
    <t>10.1130/focus022008.1</t>
  </si>
  <si>
    <t>WOS:000252829600024</t>
  </si>
  <si>
    <t>Hansom, JD; Evans, DJA; Sanderson, DCW; Bingham, RG; Bentley, MJ</t>
  </si>
  <si>
    <t>Hansom, James D.; Evans, David J. A.; Sanderson, David C. W.; Bingham, Robert G.; Bentley, Michael J.</t>
  </si>
  <si>
    <t>Constraining the age and formation of stone runs in the Falkland Islands using Optically Stimulated Luminescence</t>
  </si>
  <si>
    <t>OSL dating; stone runs; Falkland islands; palaeoclimate</t>
  </si>
  <si>
    <t>DOSE DISTRIBUTIONS; YOUNG SEDIMENTS; FLUVIAL QUARTZ; SMALL ALIQUOTS; GRAINS; SANDS; PROTOCOL</t>
  </si>
  <si>
    <t>The stone runs of the Falkland Islands are thought to be periglacial blockfields but their age and detailed origin remain enigmatic. We examine the fine sediments that underlie two stone runs in order to establish whether Optically Stimulated Luminescence (OSL) dating is an appropriate technique to constrain the date of emplacement of the fine sediments and, hence, the stone runs. Six samples were collected from two accessible sections during the Scotia Centenary Antarctic expedition in 2003. All samples were used to explore the main luminescence characteristics of the sediment, followed by quartz SAR dating procedures on four of the samples. Age estimates range from in excess of 54 ka to 16 ka, suggesting that the overlying stone runs remained active until 16 ka or later. Saturation of luminescence from quartz limits age estimates for the oldest samples in the sequences, however these are not critical to define the upper limit to the emplacement age for the overlying stone runs. The sediments also contain feldspars and initial results suggest that these may be useful in extending the timescale further, but require further samples to be obtained from other parts of the sequence. Extending the method to other stone runs in the Port Stanley Formation may allow estimates of the age of stabilisation of the stone runs to be extended into the 1-250 ka timescale. Luminescence dating of the underlying sediments, used in conjunction with cosmogenic isotope dating of the surface boulders from a range of locations along the stone runs, appears to offer a useful route towards decoding the depositional history of these impressive deposits. (C) 2007 Elsevier B.V. All rights reserved.</t>
  </si>
  <si>
    <t>[Hansom, James D.] Univ Glasgow, Dept Geog &amp; Earth Sci, Glasgow G12 8QQ, Lanark, Scotland; [Evans, David J. A.; Bentley, Michael J.] Univ Durham, Dept Geog, Durham DH1 3LE, England; [Sanderson, David C. W.] Scottish Univ Environm Res Ctr, E Kilbride G75 0QF, Lanark, Scotland; [Bingham, Robert G.] British Antarctic Survey, NERC, Cambridge CB3 0ET, England</t>
  </si>
  <si>
    <t>University of Glasgow; Durham University; Scottish Universities Research &amp; Reactor Center; UK Research &amp; Innovation (UKRI); Natural Environment Research Council (NERC); NERC British Antarctic Survey</t>
  </si>
  <si>
    <t>Hansom, JD (corresponding author), Univ Glasgow, Dept Geog &amp; Earth Sci, Glasgow G12 8QQ, Lanark, Scotland.</t>
  </si>
  <si>
    <t>jhansom@ges.gla.ac.uk</t>
  </si>
  <si>
    <t>Bentley, Michael J/F-7386-2011; Bingham, Robert G/G-3576-2017</t>
  </si>
  <si>
    <t>Bentley, Michael J/0000-0002-2048-0019; Bingham, Robert G/0000-0002-0630-2021</t>
  </si>
  <si>
    <t>10.1016/j.geomorph.2007.05.006</t>
  </si>
  <si>
    <t>257WJ</t>
  </si>
  <si>
    <t>WOS:000252829200009</t>
  </si>
  <si>
    <t>Schlüter, P; Uenzelmann-Neben, G</t>
  </si>
  <si>
    <t>Schlueter, Philip; Uenzelmann-Neben, Gabriele</t>
  </si>
  <si>
    <t>Indications for bottom current activity since Eocene times:: The climate and ocean gateway archive of the Transkei Basin, South Africa</t>
  </si>
  <si>
    <t>depocentres; depositional model; thermohaline circulation; current reconstruction; Transkei Basin; NADW; AABW; Agulhas Drift</t>
  </si>
  <si>
    <t>ATLANTIC DEEP-WATER; INDIAN-OCEAN; NORTH-ATLANTIC; NATAL VALLEY; ICE-SHEET; CIRCULATION; STRATIGRAPHY; ANTARCTICA; ISOTOPES; MIOCENE</t>
  </si>
  <si>
    <t>The Transkei Basin deposits document the sediment transport around South Africa and, hence, reveal details of palaeocurrent activity of this region for the past 36 my. Thermohaline driven water masses like the North Atlantic Deep Water (NADW) and the Antarctic Bottom Water (AABW), which are part of the global conveyor belt and the main motor for the heat transfer worldwide, have to pass the southern tip of Africa. A large amount of their sedimentary freight is deposited in the submarine Transkei Basin. By the investigation of high resolution seismic reflection data from central Transkei Basin sediments, we reconstructed depocentres and interface outlines for five different time slices since Cretaceous times. Since at least Late Eocene times, we observe an increasing activity of proto-AABW and later proto-NADW in the Transkei Basin. The current's settings were recurrently modified by various large scale global events, like the opening of the Drake Passage Gateway and the Tasman Gateway (similar to 34 Ma), respectively, or the closure of the Panama Isthmus (similar to 3 Ma). The investigations reveal a strong influence of global tectonic and climatic events on NADW and (proto-) AABW and their influence on Transkei Basin deposition. (c) 2007 Elsevier B.V. All rights reserved.</t>
  </si>
  <si>
    <t>[Schlueter, Philip; Uenzelmann-Neben, Gabriele] Alfred Wegener Inst Polar &amp; Marine Res, Bremerhaven, Germany</t>
  </si>
  <si>
    <t>Schlüter, P (corresponding author), Alfred Wegener Inst Polar &amp; Marine Res, Bremerhaven, Germany.</t>
  </si>
  <si>
    <t>Philip.schlucter@awi.de</t>
  </si>
  <si>
    <t>Uenzelmann-Neben, Gabriele/AAI-8618-2020</t>
  </si>
  <si>
    <t>Uenzelmann-Neben, Gabriele/0000-0002-0115-5923</t>
  </si>
  <si>
    <t>10.1016/j.gloplacha.2007.07.002</t>
  </si>
  <si>
    <t>268JU</t>
  </si>
  <si>
    <t>WOS:000253576900015</t>
  </si>
  <si>
    <t>Baroni, C; Fasano, F; Giorgetti, G; Salvatore, MC; Ribecai, C</t>
  </si>
  <si>
    <t>Baroni, Carlo; Fasano, Francesco; Giorgetti, Giovanna; Salvatore, Maria Cristina; Ribecai, Cristiana</t>
  </si>
  <si>
    <t>The Ricker Hills Tillite provides evidence of Oligocene warm-based glaciation in Victoria Land, Antarctica</t>
  </si>
  <si>
    <t>tillite; landscape evolution; authigenic smectite; paleoclimate; Cenozoic; Antarctica</t>
  </si>
  <si>
    <t>ICE-SHEET; TRANSANTARCTIC MOUNTAINS; SIRIUS GROUP; DRY-VALLEYS; SEDIMENTOLOGICAL EVIDENCE; ELLIPSOIDAL PARTICLES; LANDSCAPE EVOLUTION; HISTORY; REGION; RANGE</t>
  </si>
  <si>
    <t>The relationship between the Ricker Hills Tillite (RHT), which represents the northernmost outcrop of lithified continental glacial deposits in Victoria Land, is discussed with respect to the glacial landscape assemblage of the Ricker Hills, a nunatak at the internal border of the Transantarctic Mountains. A warm-based ice sheet deposited the tillite and induced syn- to post-depositional glacial deformation under wet conditions both of the tillite and of the bedrock. The thickness of the ice sheet on the nunatak is estimated to have been 600 m, at most. The area had been deeply eroded before deposition of the RHT as documented by the low elevation of tillite outcrops located in overdeepened depressions of the nunatak. Micropaleontological analysis evidences only the presence of Permian to Jurassic palynomorphs. X-ray diffraction and SEM-EDS analyses of clay minerals in the RHT indicate continental chemical weathering under wet conditions after the RHT deposition. As documented by clay mineral assemblage variation in CRP drillholes, the progressive cooling of the Antarctic continent allowed chemical weathering in warm conditions until the Late Oligocene period in southern Victoria Land, leading to a chronological constrain for RHT deposition. Conservatively estimating the sea level to have been between the tillite outcrops and the erosional trimline limiting horns in the Ricker Hills, at the time of RHT deposition, we suggest that the maximum uplift of the area would not have exceeded 900-1500 m since at least Late Oligocene. (c) 2007 Elsevier B.V. All rights reserved.</t>
  </si>
  <si>
    <t>[Baroni, Carlo; Fasano, Francesco; Ribecai, Cristiana] Univ Pisa, Dipartimento Sci Terra, I-56126 Pisa, Italy; [Fasano, Francesco; Giorgetti, Giovanna] Univ Siena, Dipartimento Sci Terra, I-53100 Siena, Italy; [Salvatore, Maria Cristina] Univ Roma La Sapienza, Dipartimento Sci Terra, I-00185 Rome, Italy</t>
  </si>
  <si>
    <t>University of Pisa; University of Siena; Sapienza University Rome</t>
  </si>
  <si>
    <t>Baroni, C (corresponding author), Univ Pisa, Dipartimento Sci Terra, Via S Maria 53, I-56126 Pisa, Italy.</t>
  </si>
  <si>
    <t>baroni@dst.unipi.it</t>
  </si>
  <si>
    <t>Baroni, Carlo/D-8184-2012; Salvatore, Maria Cristina/AAS-4000-2020</t>
  </si>
  <si>
    <t>Baroni, Carlo/0000-0001-5905-4650; Salvatore, Maria Cristina/0000-0002-1590-7284; Giorgetti, Giovanna/0000-0001-6233-4485</t>
  </si>
  <si>
    <t>10.1016/j.gloplacha.2007.05.004</t>
  </si>
  <si>
    <t>WOS:000253576900018</t>
  </si>
  <si>
    <t>Lappalainen, NM; Huttunen, S; Suokanerva, H</t>
  </si>
  <si>
    <t>Lappalainen, Niina M.; Huttunen, Satu; Suokanerva, Hanne</t>
  </si>
  <si>
    <t>Acclimation of a pleurocarpous moss Pleurozium schreberi (Britt.) Mitt. to enhanced ultraviolet radiation in situ</t>
  </si>
  <si>
    <t>carotenoids; chlorophylls a and b; long-term field study; segment growth; specific leaf area; UV-absorbing compounds</t>
  </si>
  <si>
    <t>UV-B RADIATION; LATITUDINAL GRADIENT; ANTARCTIC MOSS; BRYOPHYTES; RESPONSES; SPHAGNUM; OZONE; LIGHT; CHLOROPHYLL; OUTDOOR</t>
  </si>
  <si>
    <t>We investigated the responses of ultraviolet (UV)-absorbing compounds, chlorophylls a and b, carotenoids and the growth responses of the pleurocarpous moss Pleurozium schreberi (Britt.) Mitt. to enhanced UV radiation in situ. The moss was exposed to a 52% elevation above the ambient level of erythemally weighted UV-B radiation, simulating an approximate 20% reduction in the ozone column, in a dry pine forest in Sodankyla, Finland (67 degrees 22'N, 26 degrees 38'E), under arrays of lamps filtered with cellulose diacetate, which transmitted both UV-B and UV-A radiation. The moss was also exposed to elevated UV-A radiation under control arrays of lamps filtered with Melinex polyester and to ambient radiation under arrays with no lamps in them. Effects of enhanced UV radiation on P. schreberi were recorded during the first 3 years of exposure. Enhanced UV-B radiation did not affect the segment height growth of the moss. The annual dry mass after the second growing season was higher in the UV-A control than in the other treatments, and dry mass decreased significantly during the third treatment year in both UV treatments compared with the ambient. The specific leaf area of the UV-B-treated mosses was significantly higher than the ambient control mosses during the first 2 years. An increase of UV-absorbing compounds was found in the mosses under enhanced UV-B radiation compared with the UV-A control mosses during the first year. Even though the treatment effect on UV-absorbing compounds was transient, the concentrations of these compounds correlated with the amount of UV-A and UV-B radiation received under the elevated UV-B treatment. A correlation with the irradiation of previous days and preceding month of the sampling day was found. A seasonal reduction occurred in the amount of UV-absorbing compounds from the beginning of the summer to late summer. The amount of photosynthetic pigments correlated with the amount of photosynthetically active radiation. The moss P. schreberi was thus found to tolerate increasing UV-B radiation. Our data indicate that P. schreberi tolerates a 52% increase in erythemally weighted UV-B radiation above ambient, responding during the first few years of exposure by increasing UV-absorbing compounds and specific leaf area, and decreasing annual dry mass, and then acclimating to its altered radiation environment.</t>
  </si>
  <si>
    <t>[Lappalainen, Niina M.; Huttunen, Satu] Univ Oulu, Dept Biol, FIN-90014 Oulu, Finland; [Suokanerva, Hanne] Arct Res Ctr, Finnish Meteorol Inst, FIN-99600 Sodankyla, Finland</t>
  </si>
  <si>
    <t>University of Oulu; Finnish Meteorological Institute</t>
  </si>
  <si>
    <t>Lappalainen, NM (corresponding author), Univ Oulu, Dept Biol, PO Box 3000, FIN-90014 Oulu, Finland.</t>
  </si>
  <si>
    <t>Niina.Lappalainen@oulu.fi</t>
  </si>
  <si>
    <t>10.1111/j.1365-2486.2007.01489.x</t>
  </si>
  <si>
    <t>264TN</t>
  </si>
  <si>
    <t>WOS:000253313400011</t>
  </si>
  <si>
    <t>Lee, K; Lee, HK; Cho, JC</t>
  </si>
  <si>
    <t>Lee, Kiyoung; Lee, Hong Kum; Cho, Jang-Cheon</t>
  </si>
  <si>
    <t>Hahella antarctica sp nov., isolated from Antarctic seawater</t>
  </si>
  <si>
    <t>MARINE BACTERIUM; GEN. NOV.; CHEJUENSIS; SYSTEMATICS</t>
  </si>
  <si>
    <t>A Gram-negative, psychrotolerant, chemoheterotrophic, aerobic, cream-coloured bacterium, T designated IMCC3113(T),was isolated from coastal seawater from the Antarctic. On the basis of 16S rRNA gene sequence similarity analyses, the strain was most closely related to the type strains of Hahella chejuensis (93.0%) and Hahella ganghwensis (92.1%) in the Gammaproteobacteria. Phylogenetic investigations using 16S rRNA gene sequences showed that this Antarctic marine isolate formed a robust monophyletic clade with the two Hahella species but constituted a distinct phyletic line in the clacle. The DNA G+C content of strain IMCC3113(T) was 56.4 mol% and the major respiratory quinone was Q-9. Several phenotypic and physiological characteristics, including the temperature range and NaCl optimum for growth, several enzyme activities and the cellular fatty acid composition, served to differentiate the strain from the two Hahella species. Therefore strain IMCC3113(T) represents a novel species of the genus Hahella, for which the name Hahella antarctica sp. nov. is proposed. The type strain is IMCC3113(T) (=KCCM 42675(T) =NBIRC 102683(T)).</t>
  </si>
  <si>
    <t>[Lee, Kiyoung; Cho, Jang-Cheon] Inha Univ, Div Biol &amp; Ocean Sci, Inchon 402751, South Korea; [Lee, Hong Kum] KOPRI, Polar Bioctr, Songdo Techno Pk, Inchon 406840, South Korea</t>
  </si>
  <si>
    <t>Inha University; Korea Polar Research Institute (KOPRI)</t>
  </si>
  <si>
    <t>Cho, JC (corresponding author), Inha Univ, Div Biol &amp; Ocean Sci, Inchon 402751, South Korea.</t>
  </si>
  <si>
    <t>chojc@inha.ac.kr</t>
  </si>
  <si>
    <t>Cho, Jang-Cheon/B-4676-2013</t>
  </si>
  <si>
    <t>Cho, Jang-Cheon/0000-0002-0666-3791</t>
  </si>
  <si>
    <t>MICROBIOLOGY SOC</t>
  </si>
  <si>
    <t>CHARLES DARWIN HOUSE, 12 ROGER ST, LONDON WC1N 2JU, ERKS, ENGLAND</t>
  </si>
  <si>
    <t>1466-5034</t>
  </si>
  <si>
    <t>10.1099/ijs.0.65389-0</t>
  </si>
  <si>
    <t>268FF</t>
  </si>
  <si>
    <t>WOS:000253563800007</t>
  </si>
  <si>
    <t>Tomasi, C; Petkov, B; Benedetti, E; Valenziano, L; Lupi, A; Vitale, V; Bonafé, U</t>
  </si>
  <si>
    <t>Tomasi, Claudio; Petkov, Boyan; Benedetti, Elena; Valenziano, Luca; Lupi, Angelo; Vitale, Vito; Bonafe, Ubald</t>
  </si>
  <si>
    <t>A refined calibration procedure of two-channel sun photometers to measure atmospheric precipitable water at various Antarctic sites</t>
  </si>
  <si>
    <t>JOURNAL OF ATMOSPHERIC AND OCEANIC TECHNOLOGY</t>
  </si>
  <si>
    <t>DOME-C; INFRARED TRANSMISSION; MICROWAVE RADIOMETERS; SOLAR-RADIATION; OPTICAL DEPTH; VAPOR; HUMIDITY; STRATOSPHERE; VALIDATION; RADIOSONDE</t>
  </si>
  <si>
    <t>Two-channel sun photometers can be easily employed at Antarctic sites, where harsh environmental conditions prevail, to carry out measurements of precipitable water W. In the very dry air conditions observed in the Antarctic atmosphere, water vapor does not produce strong absorption features along the sun path. Therefore, these instruments need to be calibrated using analytical forms different from the square root regime, which can be determined by simulating the output voltages measured at Antarctic sites, for the spectral near-IR curves of extraterrestrial solar irradiance, instrumental responsivity parameters, and atmospheric transmittance, relative to various measurement periods. For this purpose, average models of the Antarctic atmosphere from the ground level up to the 30-km altitude were considered for different solar zenith angles and relative humidity conditions. The ratios between the output voltages simulated in the band and window channels were plotted as a function of total water vapor content C-w, for each site and each period, to define the best-fit calibration curves, which were subsequently normalized to the field measurements to take into account the aging effects on the filter transmission characteristics. Each of the five calibration curves was found to present a slope coefficient decreasing gradually with C, from values higher than 0.8 to about 0.6. Using these curves, measurements of W were obtained, which differ appreciably at both sea level and high-altitude sites from those given by the square root calibration curves, avoiding large overestimation errors of 10%-40% at the high-altitude sites and underestimation errors of 5%-15% at the sea level site.</t>
  </si>
  <si>
    <t>[Tomasi, Claudio; Petkov, Boyan; Lupi, Angelo; Vitale, Vito; Bonafe, Ubald] CNR, ISAC, I-40129 Bologna, Italy; [Benedetti, Elena] CNR, Inst Acoust OM Corbino IDAC, Rome Tor Vergata, Italy; [Valenziano, Luca] INAF, Inst Space Astrophys &amp; Cosm Phys, Bologna, Italy</t>
  </si>
  <si>
    <t>Consiglio Nazionale delle Ricerche (CNR); Istituto di Scienze dell'Atmosfera e del Clima (ISAC-CNR); Consiglio Nazionale delle Ricerche (CNR); Istituto Nazionale Astrofisica (INAF)</t>
  </si>
  <si>
    <t>Tomasi, C (corresponding author), CNR, ISAC, Via Gobetti 101, I-40129 Bologna, Italy.</t>
  </si>
  <si>
    <t>c.tomasi@isac.cnr.it</t>
  </si>
  <si>
    <t>vitale, vito/AAW-8441-2021</t>
  </si>
  <si>
    <t>lupi, angelo/0000-0002-5009-9876; Petkov, Boyan/0000-0002-8328-340X; Valenziano, Luca/0000-0002-1170-0104; vitale, vito/0000-0003-0978-8976</t>
  </si>
  <si>
    <t>0739-0572</t>
  </si>
  <si>
    <t>1520-0426</t>
  </si>
  <si>
    <t>J ATMOS OCEAN TECH</t>
  </si>
  <si>
    <t>J. Atmos. Ocean. Technol.</t>
  </si>
  <si>
    <t>10.1175/2007JTECHA952.1</t>
  </si>
  <si>
    <t>Engineering, Ocean; Meteorology &amp; Atmospheric Sciences</t>
  </si>
  <si>
    <t>Engineering; Meteorology &amp; Atmospheric Sciences</t>
  </si>
  <si>
    <t>268MA</t>
  </si>
  <si>
    <t>WOS:000253582700005</t>
  </si>
  <si>
    <t>Chu, PC</t>
  </si>
  <si>
    <t>Chu, Peter C.</t>
  </si>
  <si>
    <t>First passage time analysis on climate indices</t>
  </si>
  <si>
    <t>NORTH-ATLANTIC OSCILLATION; MODEL; PREDICTABILITY; PREDICTION; STABILITY; FORECASTS; EQUATION</t>
  </si>
  <si>
    <t>Climate variability is simply represented by teleconnection patterns such as the Arctic Oscillation (AO), Antarctic Oscillation (AAO), North Atlantic Oscillation (NAO), Pacific-North American pattern (PNA), and Southern Oscillation (SO) with associated indices. Two approaches can be used to predict the indices: forward and backward methods. The forward method is commonly used to predict the index fluctuation rho at time t with a given temporal increment tau. Using this method, it was found that the index (such as for NAO) has the Brownian fluctuations. On the basis of the first passage time (FPT) concept, the backward method is introduced in this study to predict the typical time span (tau) needed to generate a fluctuation in the index of a given increment rho. After the five monthly indices (AO, AAO, NAO, PNA, and SO) run through the past history, the FPT density functions are obtained. FPT presents a new way to detect the temporal variability of the climate indices. The basic features for the index prediction are also discussed.</t>
  </si>
  <si>
    <t>USN, Postgrad Sch, Ocean Anal &amp; Predict Lab, Monterey, CA 93943 USA</t>
  </si>
  <si>
    <t>United States Department of Defense; United States Navy; Naval Postgraduate School</t>
  </si>
  <si>
    <t>Chu, PC (corresponding author), USN, Postgrad Sch, Ocean Anal &amp; Predict Lab, Monterey, CA 93943 USA.</t>
  </si>
  <si>
    <t>pcchu@nps.edu</t>
  </si>
  <si>
    <t>Chu, Peter/0000-0002-3101-3555</t>
  </si>
  <si>
    <t>10.1175/2007JTECHA991.1</t>
  </si>
  <si>
    <t>WOS:000253582700008</t>
  </si>
  <si>
    <t>Lukianova, R; Christiansen, F</t>
  </si>
  <si>
    <t>Lukianova, R.; Christiansen, F.</t>
  </si>
  <si>
    <t>Modeling the UT effect in global distribution of ionospheric electric fields</t>
  </si>
  <si>
    <t>International Symposium on Recent Observations and Simulations of the Sun-Earth System (ISROSES)</t>
  </si>
  <si>
    <t>SEP 17-22, 2006</t>
  </si>
  <si>
    <t>Varna, BULGARIA</t>
  </si>
  <si>
    <t>convection; field-aligned currents; ionospheric electric field; conductance</t>
  </si>
  <si>
    <t>A new approach for modeling the global distribution of ionospheric electric potentials utilizing high-precision maps of field-aligned currents (FACs) derived from measurements by the Orsted and Magsat satellites as input to a comprehensive numerical scheme is presented. We simulate the universal time (UT) effect in convection patterns caused by variation of solar luminosity and its effect on ionospheric conductivity. A rather complicated dependence of the convection patterns on the combination of UT and IMF clock angle is found. We consider different seasons and IMF conditions and find an increase of the daily variation in the cross-polar potential drop (U-PC) at the equinoxes and a decrease at the solstices. Under equinoctial and zero IMF conditions the U-PC can vary by a factor of two, while the convection cells keep their shape. The model predicts that the summer U-PC can be smaller or larger than the winter U-PC depending on the combination of UT and IMF clock angle. If a UT control of the FAC is introduced to the model, the U-PC does not vary more than 10% over the course of the day. (c) 2007 Elsevier Ltd. All rights reserved.</t>
  </si>
  <si>
    <t>[Lukianova, R.] Arctic &amp; Antarctic Res Inst, St Petersburg 199226, Russia; [Christiansen, F.] Danish Tech Univ, Danish Natl Space Ctr, Copenhagen, Denmark</t>
  </si>
  <si>
    <t>Arctic &amp; Antarctic Research Institute; Technical University of Denmark</t>
  </si>
  <si>
    <t>Lukianova, R (corresponding author), Arctic &amp; Antarctic Res Inst, St Petersburg 199226, Russia.</t>
  </si>
  <si>
    <t>renata@aari.nw.ru</t>
  </si>
  <si>
    <t>Christiansen, Freddy/AAW-9935-2021; Lukianova, Renata/K-3293-2012</t>
  </si>
  <si>
    <t>Christiansen, Freddy/0000-0001-9415-0621; Lukianova, Renata/0000-0003-2343-9174</t>
  </si>
  <si>
    <t>2-4</t>
  </si>
  <si>
    <t>10.1016/j.jastp.2007.08.047</t>
  </si>
  <si>
    <t>276JN</t>
  </si>
  <si>
    <t>WOS:000254137200057</t>
  </si>
  <si>
    <t>Sahu, B; Ray, MK</t>
  </si>
  <si>
    <t>Sahu, Bhubanananda; Ray, Malay K.</t>
  </si>
  <si>
    <t>Auxotrophy in natural isolate: minimal requirements for growth of the Antarctic psychrotrophic bacterium Pseudomonas syringae Lz4W</t>
  </si>
  <si>
    <t>JOURNAL OF BASIC MICROBIOLOGY</t>
  </si>
  <si>
    <t>antarctic bacterium; Pseudomonas syringae Lz4W; minimal growth medium; amino acid auxotrophy</t>
  </si>
  <si>
    <t>AMINO-ACID BIOSYNTHESIS; CATABOLITE REPRESSION CONTROL; LOW-TEMPERATURE; ESCHERICHIA-COLI; CELL-SIZE; TRANSCRIPTIONAL ACTIVITY; SALMONELLA-TYPHIMURIUM; CYTOPLASMIC PROTEIN; LACTOCOCCUS-LACTIS; STATIONARY-PHASE</t>
  </si>
  <si>
    <t>A chemically defined minimal medium has been developed for growing the Antarctic psychrotrophic bacterium Pseudomonas syringae Lz4W, a model system for studying cold adaptation. This natural isolate from Antarctica has an absolute requirement for two branched chain amino acids, isoleucine and valine, in addition to low osmolality of the growth medium. The bacterium contains threonine deaminase but lacks acetohydroxyacid synthase suggesting that a defect lies in the isoleucine and valine biosynthetic pathway causing auxotrophy. Succinate was found to be preferred carbon source over glucose as it could suppress the glucose metabolizing enzymes in the cells, like in other pseudomonads. The development of the minimal medium (MMLZ) for growing the Antarctic P. syringae Lz4W strain would be useful for investigation of the catabolite repression control mechanism at a very low temperature (below 5 degrees C), which is predominant in vast area of our global ecosystems.</t>
  </si>
  <si>
    <t>[Sahu, Bhubanananda; Ray, Malay K.] Ctr Cellular &amp; Mol Biol, Hyderabad 500007, Andhra Pradesh, India</t>
  </si>
  <si>
    <t>0233-111X</t>
  </si>
  <si>
    <t>1521-4028</t>
  </si>
  <si>
    <t>J BASIC MICROB</t>
  </si>
  <si>
    <t>J. Basic Microbiol.</t>
  </si>
  <si>
    <t>10.1002/jobm.200700185</t>
  </si>
  <si>
    <t>266KT</t>
  </si>
  <si>
    <t>WOS:000253434800006</t>
  </si>
  <si>
    <t>van De Wouw, M; van Dijk, P; Huiskes, AHL</t>
  </si>
  <si>
    <t>van De Wouw, Mark; van Dijk, Peter; Huiskes, Ad H. L.</t>
  </si>
  <si>
    <t>Regional genetic diversity patterns in Antarctic hairgrass (Deschampsia antarctica Desv.)</t>
  </si>
  <si>
    <t>JOURNAL OF BIOGEOGRAPHY</t>
  </si>
  <si>
    <t>AFLP; Antarctica; bottleneck; cpDNA; phylogeography; stepping-stone model; sub-Antarctic</t>
  </si>
  <si>
    <t>CHLOROPLAST DNA PHYLOGEOGRAPHY; NONCODING REGIONS; UNIVERSAL PRIMERS; VASCULAR PLANTS; ISLANDS; AMPLIFICATION; BIOGEOGRAPHY; KERGUELEN; L.; MICROSATELLITES</t>
  </si>
  <si>
    <t>Aim To determine patterns in diversity of a major Antarctic plant species, including relationships of Antarctic populations with those outside the Antarctic zone. Location Antarctic Peninsula, Maritime Antarctica, sub-Antarctic islands, Falkland Islands and South America. Methods Amplified fragment length polymorphisms (AFLPs) and chloroplast sequences were used to study patterns of genetic diversity in Antarctic hairgrass (Deschampsia antarctica Desv.) and the genetic relationships between populations over its distribution range. Thirty-eight populations were sampled from a large part of the distribution of D. antarctica, and additionally, herbarium specimens were included for areas from which we could not obtain fresh samples. Results A gradient in AFLP diversity was observed going from the Falklands southwards into the Antarctic. This gradient in diversity was also observed within the Antarctic Peninsula: diversity was lower further south. Diversity in the chloroplast genome of D. antarctica was low. Only three chloroplast haplotypes were found, each with a strong regional distribution. Main conclusions The phylogenetic construction of AFLP marker frequencies in meta-populations of D. antarctica supports a stepping-stone model of colonization, whereby gene flow mainly occurs between neighbouring populations. It is concluded that long-distance gene flow is very limited in D. antarctica. A very low diversity was found in the sub-Antarctic islands in the Indian Ocean, indicating that these populations have experienced a recent evolutionary bottleneck.</t>
  </si>
  <si>
    <t>[van De Wouw, Mark; van Dijk, Peter; Huiskes, Ad H. L.] NIOO KNAW, Unit Polar Ecol, NL-4400 AC Yerseke, Netherlands</t>
  </si>
  <si>
    <t>Royal Netherlands Academy of Arts &amp; Sciences; Netherlands Institute of Ecology (NIOO-KNAW)</t>
  </si>
  <si>
    <t>van De Wouw, M (corresponding author), Maijweg 10, NL-5211 AA sHertogenbosch, Netherlands.</t>
  </si>
  <si>
    <t>markvandewouw@yahoo.co.uk</t>
  </si>
  <si>
    <t>Huiskes, Ad/C-3252-2011; van de Wouw, Mark/A-4129-2008</t>
  </si>
  <si>
    <t>0305-0270</t>
  </si>
  <si>
    <t>1365-2699</t>
  </si>
  <si>
    <t>J BIOGEOGR</t>
  </si>
  <si>
    <t>J. Biogeogr.</t>
  </si>
  <si>
    <t>10.1111/j.1365-2699.2007.01784.x</t>
  </si>
  <si>
    <t>251TA</t>
  </si>
  <si>
    <t>WOS:000252396600016</t>
  </si>
  <si>
    <t>Acevedo, JP; Reyes, F; Parra, LP; Salazar, O; Andrews, BA; Asenjo, JA</t>
  </si>
  <si>
    <t>Acevedo, Juan Pablo; Reyes, Fernando; Parra, Loreto P.; Salazar, Oriana; Andrews, Barbara A.; Asenjo, Juan A.</t>
  </si>
  <si>
    <t>Cloning of complete genes for novel hydrolytic enzymes from Antarctic sea water bacteria by use of an improved genome walking technique</t>
  </si>
  <si>
    <t>JOURNAL OF BIOTECHNOLOGY</t>
  </si>
  <si>
    <t>genome walking; chromosome walking; CODEHOP; Antarctic; bacteria; protease; subtilisin</t>
  </si>
  <si>
    <t>PROTEIN SUBCELLULAR-LOCALIZATION; SIGNAL PEPTIDES; PCR; PREDICTION; AMPLIFICATION; SEQUENCE; EXPRESSION; METAGENOME; PROTEASES; CASSETTE</t>
  </si>
  <si>
    <t>The increased demand for enzymes with new properties makes indispensable the development of easy and rapid strategies to obtain complete genes of new enzymes. Here a strategy is described which includes screening by PCR of new subtilases mediated by Consensus-Degenerate Hybrid Oligonucleotide Primers (CODEHOP) and an improved genome walking method to obtain the complete sequence of the identified genes. Existing methods of genome walking have many limitations, which make them inefficient and time consuming. We have developed an improved genome walking method with novel advances to get a simple, rapid and more efficient procedure based on cassette-ligation. Improvements consist basically in the possibility of a genomic DNA digestion with any restriction enzyme, blunting and 3' adenylation of digested DNA by Taq DNA polymerase to avoid self-circularization, followed by TA ligation of the adenine 3' overhanging end to the same unphosphorylated oligo-cassette. The efficiency of the genome walking method was demonstrated by finding the unknown ends of all gene fragments tested, previously obtained by CODEHOP-mediated PCR, including three subtilases (P4, P6 and P7), one xylanase and one lipase, from different strains of Antarctic marine bacteria. (C) 2007 Elsevier B.V. All rights reserved.</t>
  </si>
  <si>
    <t>[Acevedo, Juan Pablo; Reyes, Fernando; Parra, Loreto P.; Salazar, Oriana; Andrews, Barbara A.; Asenjo, Juan A.] Univ Chile, Millennium Inst Cell Dynam &amp; Biotechnol, Dept Chem Engn &amp; Biotechnol, Ctr Biochem Engn &amp; Biotechnol, Santiago, Chile</t>
  </si>
  <si>
    <t>Acevedo, JP (corresponding author), Univ Chile, Millennium Inst Cell Dynam &amp; Biotechnol, Dept Chem Engn &amp; Biotechnol, Ctr Biochem Engn &amp; Biotechnol, Beauchef 861, Santiago, Chile.</t>
  </si>
  <si>
    <t>juaceved@ing.uchile.cl</t>
  </si>
  <si>
    <t>Parra, Loreto/D-2593-2014; Salazar, Oriana/O-4070-2018; Andrews, Barbara/J-5070-2016; Salazar, María Oriana/J-5061-2016; Asenjo, Juan/L-8336-2013</t>
  </si>
  <si>
    <t>0168-1656</t>
  </si>
  <si>
    <t>1873-4863</t>
  </si>
  <si>
    <t>J BIOTECHNOL</t>
  </si>
  <si>
    <t>J. Biotechnol.</t>
  </si>
  <si>
    <t>10.1016/j.jbiotec.2007.10.004</t>
  </si>
  <si>
    <t>255BR</t>
  </si>
  <si>
    <t>WOS:000252632200002</t>
  </si>
  <si>
    <t>Justino, F; Peltier, WR</t>
  </si>
  <si>
    <t>Justino, F.; Peltier, W. R.</t>
  </si>
  <si>
    <t>Climate anomalies induced by the arctic and antarctic oscillations: Glacial maximum and present-day perspectives</t>
  </si>
  <si>
    <t>NORTH-ATLANTIC-OSCILLATION; SEA-ICE; GEOPOTENTIAL HEIGHT; CONTINENTAL ICE; LAKE-LEVELS; VARIABILITY; PRECIPITATION; CIRCULATION; MODEL; TEMPERATURE</t>
  </si>
  <si>
    <t>Based on multicentury coupled climate simulations of both modern and glacial maximum conditions, this study focuses on the impact of the Arctic Oscillation (AO) and the Antarctic Oscillation (AAO) on the earth's surface climate. Intercomparison of the results obtained in numerical experiments for both climate epochs demonstrates that highly significant changes of surface climate are predicted to have occurred depending upon the phase of the AO and AAO. These climate anomalies differ substantially between the modern and Last Glacial Maximum (LGM) states and exhibit a strong seasonal cycle under the latter conditions. Additional investigation has revealed that an intensification of the subtropical gyres in the North Atlantic and North Pacific that are induced during the positive phase of the AO plays a key role in the development of positive sea surface temperature (SST) anomalies in midlatitudes. In the Southern Hemisphere, similarly significant and systematic climate shifts are shown to occur due to variations of the Antarctic Oscillation that are highlighted by a warming over the Antarctic Peninsula and midlatitudes during the positive phase of the AAO. Finally, the authors find that the temporal variability of the AO and of the Pacific decadal oscillation (PDO) is significantly anticorrelated, with this coupling being independent of the season under present-day conditions. Under LGM conditions, however, due to the intensified vigor of the atmospheric circulation, the coupling is found to be stronger during boreal winter.</t>
  </si>
  <si>
    <t>[Justino, F.; Peltier, W. R.] Univ Toronto, Dept Phys, Toronto, ON, Canada</t>
  </si>
  <si>
    <t>Justino, F (corresponding author), PH Rolfs S-N Ctr, BR-36570 Vicosa, MG, Brazil.</t>
  </si>
  <si>
    <t>fjustino@ufv.br</t>
  </si>
  <si>
    <t>Peltier, William R./A-1102-2008; Flavio, Justino/AAT-2037-2020</t>
  </si>
  <si>
    <t>10.1175/2007JCLI1703.1</t>
  </si>
  <si>
    <t>258TR</t>
  </si>
  <si>
    <t>WOS:000252892900003</t>
  </si>
  <si>
    <t>Hogg, AM; Meredith, MP; Blundell, JR; Wilson, C</t>
  </si>
  <si>
    <t>Hogg, Andrew McC.; Meredith, Michael P.; Blundell, Jeffrey R.; Wilson, Chris</t>
  </si>
  <si>
    <t>Eddy heat flux in the Southern Ocean: Response to variable wind forcing</t>
  </si>
  <si>
    <t>ANTARCTIC CIRCUMPOLAR CURRENT; QUASI-GEOSTROPHIC MODEL; ANNULAR MODE; CIRCULATION; TOPOGRAPHY; TRANSPORT; CHANNEL; EDDIES; WAVES</t>
  </si>
  <si>
    <t>The authors assess the role of time-dependent eddy variability in the Antarctic Circumpolar Current (ACC) in influencing warming of the Southern Ocean. For this, an eddy-resolving quasigeostrophic model of the wind-driven circulation is used, and the response of circumpolar transport, eddy kinetic energy, and eddy heat transport to changes in winds is quantified. On interannual time scales, the model exhibits the behavior of an eddy saturated ocean state, where increases in wind stress do not significantly change the circumpolar transport, but instead enhance the eddy field. This is in accord with previous dynamical arguments, and a recent observational study. The instantaneous response to increased wind stress is to cool temperatures through increased northward Ekman transport of cool water. But, in the longer term, the enhanced eddy state is more efficient at transporting heat, leading to a warming of the ocean. The total eddy heat flux response is greater than the Ekman transport heat flux in this model by a factor of 2, indicating that coarse (non eddy resolving) models may fail to adequately capture the key processes. The authors also test the model response to long-term changes in wind forcing, including steadily increasing circumpolar wind strength over a 30-yr period. The model shows a response in eddy heat flux, and a change in ocean temperature not dissimilar from observed Southern Ocean warming. These findings suggest that eddy heat flux, energized by increasing wind stress, may be a significant contributor to the observed warming of the Southern Ocean.</t>
  </si>
  <si>
    <t>[Hogg, Andrew McC.] Australian Natl Univ, Canberra, ACT, Australia; [Meredith, Michael P.] British Antarctic Survey, Cambridge CB3 0ET, England; [Blundell, Jeffrey R.] Natl Oceanog Ctr, Southampton, Hants, England; [Wilson, Chris] Proudman Oceanog Lab, Liverpool, Merseyside, England</t>
  </si>
  <si>
    <t>Australian National University; UK Research &amp; Innovation (UKRI); Natural Environment Research Council (NERC); NERC British Antarctic Survey; NERC National Oceanography Centre; NERC National Oceanography Centre</t>
  </si>
  <si>
    <t>Hogg, AM (corresponding author), Australian Natl Univ, Res Sch Earth Sci, GPO Box 4, Canberra, ACT 0200, Australia.</t>
  </si>
  <si>
    <t>andy.hogg@anu.edu.au</t>
  </si>
  <si>
    <t>Wilson, Chris/B-5742-2012; Hogg, Andy McC./A-7553-2011; Hogg, Andy/AAZ-8733-2021</t>
  </si>
  <si>
    <t>Wilson, Chris/0000-0003-0891-2912; Hogg, Andy McC./0000-0001-5898-7635; Hogg, Andy/0000-0001-5898-7635; Meredith, Michael/0000-0002-7342-7756</t>
  </si>
  <si>
    <t>NERC [pol010006, pol010002, soc010011, bas010017] Funding Source: UKRI; Natural Environment Research Council [soc010011, pol010002, pol010006, bas010017] Funding Source: researchfish</t>
  </si>
  <si>
    <t>10.1175/2007JCLI1925.1</t>
  </si>
  <si>
    <t>263VQ</t>
  </si>
  <si>
    <t>Green Accepted, hybrid</t>
  </si>
  <si>
    <t>WOS:000253245000002</t>
  </si>
  <si>
    <t>O'Dwyer, TW; Ackerman, AL; Nevitt, GA</t>
  </si>
  <si>
    <t>O'Dwyer, Terence W.; Ackerman, A. L.; Nevitt, Gabrielle A.</t>
  </si>
  <si>
    <t>Examining the development of individual recognition in a burrow-nesting procellariiform, the Leach's storm-petrel</t>
  </si>
  <si>
    <t>olfaction; odour learning; individual odour; seabird; Procellariiformes</t>
  </si>
  <si>
    <t>HALOBAENA-CAERULEA; SEX-DISCRIMINATION; VOMERONASAL ORGAN; ANTARCTIC SEABIRD; ODOR RECOGNITION; CHICKS; ISLAND</t>
  </si>
  <si>
    <t>Burrow-nesting petrels use their well-developed sense of smell for foraging, homing to their nest, and mate recognition. The chicks of burrow-nesting petrels can apparently learn odours associated with prey while still in the nest, but the development of individual-specific odour recognition is less well understood. We used a simple two-choice test to determine whether 4- to 6week-old chicks of a small, burrow-nesting species, the Leach's storm-petrel (Oceanodroma leucorhoa), prefer the scent of their own nest material to (1) the scent of similar organic material collected from the colony or (2) the scent of a conspecific's nest material. Results suggest that chicks clearly preferred the scent of their own nest material to that of similar organic material collected from the colony (96%; N=24; binomial test, P&lt;0.001). Results further suggested that birds preferred the scent of their own nest material to that of a conspecific, though the preference was statistically less robust (67%; N=39; binomial test, P=0.05). Because Leach's storm-petrel chicks do not normally leave their burrow prior to fledging, an ability to recognise individual or nest-specific odours is not likely to be used for homing but instead may be linked to the development of individual recognition in different contexts.</t>
  </si>
  <si>
    <t>[O'Dwyer, Terence W.; Ackerman, A. L.; Nevitt, Gabrielle A.] Univ Calif Davis, Div Biol Sci, Sect Neurobiol Physiol &amp; Behav, Davis, CA 95616 USA</t>
  </si>
  <si>
    <t>O'Dwyer, TW (corresponding author), Univ Calif Davis, Div Biol Sci, Sect Neurobiol Physiol &amp; Behav, One Shields Ave, Davis, CA 95616 USA.</t>
  </si>
  <si>
    <t>twodwyer@ucdavis.edu</t>
  </si>
  <si>
    <t>10.1242/jeb.010512</t>
  </si>
  <si>
    <t>263CY</t>
  </si>
  <si>
    <t>WOS:000253196400016</t>
  </si>
  <si>
    <t>Wen, XF; Sun, XM; Zhang, SC; Yu, GR; Sargent, SD; Lee, X</t>
  </si>
  <si>
    <t>Wen, Xue-Fa; Sun, Xiao-Min; Zhang, Shi-Chun; Yu, Gui-Rui; Sargent, Steve D.; Lee, Xuhui</t>
  </si>
  <si>
    <t>Continuous measurement of water vapor D/H and 18O/16O isotope ratios in the atmosphere</t>
  </si>
  <si>
    <t>JOURNAL OF HYDROLOGY</t>
  </si>
  <si>
    <t>stable isotopes; atmospheric water vapor; hydrogen isotope; oxygen isotope; TDLAS</t>
  </si>
  <si>
    <t>LASER ABSORPTION-SPECTROSCOPY; STABLE-ISOTOPE; DEUTERIUM EXCESS; ANTARCTIC PRECIPITATION; HYDROGEN ISOTOPES; OXYGEN; O-18; FRACTIONATION; EVAPORATION; FLUXES</t>
  </si>
  <si>
    <t>The D/H and O-18/O-16 ratios in atmospheric water vapor provide rich information on the hydrological cycle and gaseous exchange processes between the terrestrial vegetation and the atmosphere. In this paper, we have demonstrated the feasibility to simultaneously measure both D/H and O-18/O-16 in atmospheric water vapor using a tunable diode laser absorption spectrometer. Our laboratory tests showed that the 1-h precision (one standard deviation) was 1.1 parts per thousand for D/H and 0.07 parts per thousand for O-18/O-16 at the dewpoint temperature of 15 degrees C. The difference between the laser measurement and cold trap/mass spectrometer analysis was 1.2 +/- 6.0 parts per thousand (hourly mean +/- one standard deviation) for D/H and 1.1 +/- 1.3 parts per thousand for O-18/O-16. Our atmospheric measurement captured the rapidly changing isotopic signals in both D/H and O-18/O-16. The measured isotope ratios were highly correlated with the water vapor mixing ratio as expected and followed very closely the Global Meteoric Water Line except during two transitional periods when the deuterium excess of atmospheric vapor deviated from the standard value. In addition, we have refined a method to provide independent, timely performance test of the in situ system. (C) 2007 Elsevier B.V. All rights reserved.</t>
  </si>
  <si>
    <t>[Lee, Xuhui] Yale Univ, Sch Forestry &amp; Environm Studies, New Haven, CT 06510 USA; [Wen, Xue-Fa; Sun, Xiao-Min; Zhang, Shi-Chun; Yu, Gui-Rui] Chinese Acad Sci, Inst Geog Sci &amp; Nat Resources, Key Lab Ecosyst Network Observ &amp; Modeling, Beijing, Peoples R China; [Sargent, Steve D.] Campbell Sci Inc, Logan, UT USA</t>
  </si>
  <si>
    <t>Yale University; Chinese Academy of Sciences; Institute of Geographic Sciences &amp; Natural Resources Research, CAS</t>
  </si>
  <si>
    <t>Lee, X (corresponding author), Yale Univ, Sch Forestry &amp; Environm Studies, 21 Sachem St, New Haven, CT 06510 USA.</t>
  </si>
  <si>
    <t>xuhui.tee@yate.edu</t>
  </si>
  <si>
    <t>Yu, Guirui/C-1768-2014; Zhang, Shichun/O-2239-2013</t>
  </si>
  <si>
    <t>Yu, Guirui/0000-0002-1859-8966; Zhang, Shichun/0000-0002-3384-204X</t>
  </si>
  <si>
    <t>0022-1694</t>
  </si>
  <si>
    <t>1879-2707</t>
  </si>
  <si>
    <t>J HYDROL</t>
  </si>
  <si>
    <t>J. Hydrol.</t>
  </si>
  <si>
    <t>10.1016/j.jhydrol.2007.11.021</t>
  </si>
  <si>
    <t>Engineering, Civil; Geosciences, Multidisciplinary; Water Resources</t>
  </si>
  <si>
    <t>Engineering; Geology; Water Resources</t>
  </si>
  <si>
    <t>263LZ</t>
  </si>
  <si>
    <t>WOS:000253219900019</t>
  </si>
  <si>
    <t>Drévillon, M; Bourdallé-Badie, R; Derval, C; Drillet, Y; Lellouche, JM; Rémy, E; Tranchant, B; Benkiran, M; Greiner, L; Guinehut, S; Verbrugge, N; Garric, G; Testut, CE; Laborie, M; Nouel, L; Bahurel, P; Bricaud, C; Crosnier, L; Dombrowsky, E; Durand, L; Ferry, N; Hernandez, F; Le Galloudec, O; Messal, F; Parent, L</t>
  </si>
  <si>
    <t>Drevillon, M.; Bourdalle-Badie, R.; Derval, C.; Drillet, Y.; Lellouche, J-M; Remy, E.; Tranchant, B.; Benkiran, M.; Greiner, L.; Guinehut, S.; Verbrugge, N.; Garric, G.; Testut, C-E; Laborie, M.; Nouel, L.; Bahurel, P.; Bricaud, C.; Crosnier, L.; Dombrowsky, E.; Durand, L.; Ferry, N.; Hernandez, F.; Le Galloudec, O.; Messal, F.; Parent, L.</t>
  </si>
  <si>
    <t>The GODAE/Mercator-Ocean global ocean forecasting system: results, applications and prospects</t>
  </si>
  <si>
    <t>JOURNAL OF OPERATIONAL OCEANOGRAPHY</t>
  </si>
  <si>
    <t>Oceanology International 2008</t>
  </si>
  <si>
    <t>MAR 11-13, 2008</t>
  </si>
  <si>
    <t>London, ENGLAND</t>
  </si>
  <si>
    <t>DATA ASSIMILATION; SEA-ICE; MODEL; CONSERVATION; CIRCULATION; SURFACE</t>
  </si>
  <si>
    <t>The Mercator-Ocean eddy permitting (1/4 degrees) global ocean forecasting system assimilating satellite altimetry is the French contribution to the GODAE project and to the MERSEA project for operational systems. It has run operationally since October 2005 and is forced with daily surface fluxes from ECMWF operational analyses and forecasts. JASON, ERS and GFO altimetry measurements from AVISO were assimilated from January 2005 up to real time. The simulation results are compared with independent in-situ data of the Atlantic, Pacific and Antarctic Ocean basins in order to provide an estimation of the performance of the system, The results are also compared with the Levitus climatology, and with combinations of in-situ and satellite observations since 2005. In the Atlantic basin, the global system is also compared with Mercator-Ocean regional systems that assimilate SST (Sea Surface Temperature), SLA (Sea Level Anomalies) and in situ (temperature and salinity profiles) near real time observations</t>
  </si>
  <si>
    <t>Bourdallé-Badie, Romain/HSH-9424-2023; Hernandez, Fabrice/F-6642-2013; Garric, Gilles/O-9065-2016</t>
  </si>
  <si>
    <t>Bourdallé-Badie, Romain/0000-0002-8742-3289; Hernandez, Fabrice/0000-0003-2152-0657; drevillon, marie/0000-0003-4586-8957; Garric, Gilles/0000-0002-5385-710X</t>
  </si>
  <si>
    <t>INST MARINE ENGINEERING, SCI &amp; TECHNOL</t>
  </si>
  <si>
    <t>80 COLEMAN ST, LONDON EC2R 5BJ, ENGLAND</t>
  </si>
  <si>
    <t>1755-876X</t>
  </si>
  <si>
    <t>J OPER OCEANOGR</t>
  </si>
  <si>
    <t>J. Oper. Oceanogr.</t>
  </si>
  <si>
    <t>10.1080/1755876X.2008.11020095</t>
  </si>
  <si>
    <t>508NP</t>
  </si>
  <si>
    <t>WOS:000270939200007</t>
  </si>
  <si>
    <t>Sterken, M; Verleyen, E; Sabbe, K; Terryn, G; Charlet, F; Bertrand, S; Boës, X; Fagel, N; De Batist, M; Vyverman, W</t>
  </si>
  <si>
    <t>Sterken, Mieke; Verleyen, Elie; Sabbe, Koen; Terryn, Griet; Charlet, Francois; Bertrand, Sebastien; Boes, Xavier; Fagel, Nathalie; De Batist, Marc; Vyverman, Wim</t>
  </si>
  <si>
    <t>Late Quaternary climatic changes in southern Chile, as recorded in a diatom sequence of Lago Puyehue (40°40′S)</t>
  </si>
  <si>
    <t>JOURNAL OF PALEOLIMNOLOGY</t>
  </si>
  <si>
    <t>diatoms; El Nino; Chile; Paleolimnology; Lago Puyehue; deglaciation; paleoclimate; Westerlies; Younger Dryas; Last Glacial Maximum</t>
  </si>
  <si>
    <t>LAST GLACIAL MAXIMUM; EL-NINO/SOUTHERN-OSCILLATION; YOUNGER DRYAS; LAKE DISTRICT; RADIOCARBON CHRONOLOGY; RAINFALL VARIABILITY; HOLOCENE TRANSITION; ABRUPT VEGETATION; LATE PLEISTOCENE; MARINE RECORD</t>
  </si>
  <si>
    <t>A late Quaternary diatom stratigraphy of Lago Puyehue (40 degrees 40'S, 72 degrees 28'W) was examined in order to infer past limnological and climatic changes in the South-Chilean Lake District. The diatom assemblages were well preserved in a 1,122 cm long, C-14-dated sediment core spanning the last 17,900 years, and were in support of an early deglaciation of Lago Puyehue. The presence of a short cold spell in South Chile, equivalent to the Younger Dryas event in the Northern Hemisphere, the Antarctic Cold Reversal in Antarctica, or the Huelmo-Mascardi event in southern South America, was not clearly evidenced in the diatom data, although some climate instability may have occurred between 13,400 and 11,700 cal. yr. BP, and a relatively long period (between 16,850 and 12,810 cal. yr. BP) with low absolute abundances and biovolumes could be tentatively interpreted as a period of low rainfall and/or temperatures. An increase in the moisture supply to the lake was tentatively inferred at 12,810 cal. yr. BP. After 9,550 cal. yr. BP, inferred stronger and longer persisting summer stratification, may have been the result of the higher temperatures associated with an early-Holocene thermal optimum. The mid-Holocene appeared to be characterized by a decrease in precipitation, culminating around 5,000 cal. yr. BP, and rising again after 3,000 cal. yr. BP, likely associated with a previously documented lowered frequency and amplitude of El Nino events. An increase in precipitation during the late Holocene (3,000 cal. yr. BP-present) might have marked subsequent increased frequency of El Nino occurrences, leading to drier summers and slightly moister winters in the area.</t>
  </si>
  <si>
    <t>[Sterken, Mieke; Verleyen, Elie; Sabbe, Koen; Terryn, Griet; Vyverman, Wim] Univ Ghent, Dept Biol, Sect Protistol &amp; Aquat Ecol, B-9000 Ghent, Belgium; [Charlet, Francois; De Batist, Marc] Univ Ghent, Renard Ctr Marine Geol, Ghent, Belgium; [Bertrand, Sebastien; Boes, Xavier; Fagel, Nathalie] Univ Liege, Clays &amp; Paleoclimate Res Unit, Liege, Belgium</t>
  </si>
  <si>
    <t>Ghent University; Ghent University; University of Liege</t>
  </si>
  <si>
    <t>Sterken, M (corresponding author), Univ Ghent, Dept Biol, Sect Protistol &amp; Aquat Ecol, B-9000 Ghent, Belgium.</t>
  </si>
  <si>
    <t>Mieke.Sterken@UGent.be</t>
  </si>
  <si>
    <t>Dasseville, Renaat/B-3561-2010; De Batist, Marc/F-5722-2012; Bertrand, Sebastien/G-9744-2011</t>
  </si>
  <si>
    <t>De Batist, Marc/0000-0002-1625-2080; Bertrand, Sebastien/0000-0003-0374-4040; fagel, nathalie/0000-0002-8231-8295</t>
  </si>
  <si>
    <t>0921-2728</t>
  </si>
  <si>
    <t>1573-0417</t>
  </si>
  <si>
    <t>J PALEOLIMNOL</t>
  </si>
  <si>
    <t>J. Paleolimn.</t>
  </si>
  <si>
    <t>10.1007/s10933-007-9114-1</t>
  </si>
  <si>
    <t>Environmental Sciences; Geosciences, Multidisciplinary; Limnology</t>
  </si>
  <si>
    <t>Environmental Sciences &amp; Ecology; Geology; Marine &amp; Freshwater Biology</t>
  </si>
  <si>
    <t>252BK</t>
  </si>
  <si>
    <t>WOS:000252419600005</t>
  </si>
  <si>
    <t>Vidal, R; Meneses, I; Smith, M</t>
  </si>
  <si>
    <t>Vidal, Rodrigo; Meneses, Isabel; Smith, Macarena</t>
  </si>
  <si>
    <t>Phylogeography of the genus Spongites (Corallinales, Rhodophyta) from Chile</t>
  </si>
  <si>
    <t>biogeography; Corallinales; cox2-3 spacer; morphology; phylogeography; Spongites; SSU</t>
  </si>
  <si>
    <t>COMB-NOV; MASTOPHOROIDEAE CORALLINACEAE; TAXONOMIC REASSESSMENT; COMPLEX RHODOMELACEAE; GENERIC CONCEPTS; RED ALGAE; BIOGEOGRAPHY; DNA; PATTERNS; MITOCHONDRIAL</t>
  </si>
  <si>
    <t>Both the records and the descriptions of the crustose species of coralline algae on the southeastern coast of South America are from the early 1900s. Unlike other algae species on the coast of Chile, the biogeography and distribution of crustose corallines have not been studied despite their abundance. Through recent studies, it has been determined that the genus Spongites is the most conspicuous genus along the rocky intertidal of the Chilean coasts. It is also common to the entire coast of the Southern Hemisphere; however, the relationship between species and the possible reasons for their distribution is unknown. We used nuclear and mitochondrial genetic markers and SEM observations of morphological characters to examine Spongites samples from the Southern Hemisphere and to establish the phylogeographic relationships of Chilean Spongites with specimens from other southern coasts. The combination of these analyses revealed the following: (i) a monophyletic clade that represents the Chilean Spongites and (ii) a paraphyletic clade for South African, New Zealand, and Argentine samples. Consequently, we postulate two nonexclusive hypotheses regarding the relationship of Spongites species in the Southern Hemisphere: (i) a complex history of extinction, speciation, and recolonization that might have erased original Gondwanan split patterns, and (ii) an Antarctic Peninsula origin for the Chilean Spongites species.</t>
  </si>
  <si>
    <t>[Meneses, Isabel; Smith, Macarena] Pontificia Univ Catolica Chile, Fac Ciencias Biol, Dept Ecol, Alameda 340,Casilla 114-D, Santiago, Chile; [Vidal, Rodrigo] Univ Santiago, Fac Quim &amp; Biol, Dept Biol, Santiago, Chile</t>
  </si>
  <si>
    <t>Pontificia Universidad Catolica de Chile; Universidad de Santiago de Chile</t>
  </si>
  <si>
    <t>Meneses, I (corresponding author), Pontificia Univ Catolica Chile, Fac Ciencias Biol, Dept Ecol, Alameda 340,Casilla 114-D, Santiago, Chile.</t>
  </si>
  <si>
    <t>imeneses@pbct.cl</t>
  </si>
  <si>
    <t>10.1111/j.1529-8817.2007.00431.x</t>
  </si>
  <si>
    <t>260BO</t>
  </si>
  <si>
    <t>WOS:000252986000025</t>
  </si>
  <si>
    <t>Hättestrand, C; Koilka, V; Johansen, N</t>
  </si>
  <si>
    <t>Hattestrand, Clas; Koilka, Vasili; Johansen, Nina</t>
  </si>
  <si>
    <t>Cirque infills in the Khibiny mountains, Kola Peninsula, Russia -: palaeoglaciological interpretations and modern analogues in East Antarctica</t>
  </si>
  <si>
    <t>cirque infills; moraines; blue ice; glacial geomorphology; Kola Peninsula</t>
  </si>
  <si>
    <t>BLUE-ICE AREAS; ROCK GLACIERS; SHEET; MORAINES; MORPHOLOGY</t>
  </si>
  <si>
    <t>We report here on cirque infills mapped in the Khibiny Mountains, Kola Peninsula, Russia. Cirque infills are morainic deposits located near the headwalls of valleys and cirques. Their location and shape, often with concave margins towards the valley side, indicate that they were deposited by ice flowing up-valley, into the mountains, rather than by local glaciers. We suggest that they formed during the last deglaciation, when Khibiny was a nunatak and Fennoscandian ice sheet lobes extended into valleys and cirques of the massif. The formation of cirque infills is probably more related to ice sheet dynamic factors, occurring when the ice margin retreated from the cirques, than to climate-driven interruption in the ice-marginal retreat. Glacial conditions similar to those prevalent when the Khibiny cirque infills were formed, occur today in Antarctica where the ice sheets engulf nunatak ranges. In Heimefrontfjella, Antarctica, the formation of supraglacial moraines at the head of cirques are linked to blue-ice conditions, indicating locally low accumulation rates, a dry continental climate and sublimation dominated ablation. We suggest that these Antarctic moraines are modern analogues of cirque infills on the Kola Peninsula, and possibly, that the cirque infills may be used as palaeoenvironmental indicators. Copyright (C) 2007 John Wiley &amp; Sons, Ltd.</t>
  </si>
  <si>
    <t>[Hattestrand, Clas; Johansen, Nina] Stockholm Univ, Dept Phys Geog &amp; Quarternary Geol, SE-10691 Stockholm, Sweden; [Koilka, Vasili] Kola Sci Ctr, Inst Geol, Apatity, Russia</t>
  </si>
  <si>
    <t>Stockholm University; Russian Academy of Sciences; Kola Science Centre of the Russian Academy of Sciences; Geological Institute, Kola Science Centre of the Russian Academy of Sciences</t>
  </si>
  <si>
    <t>Hättestrand, C (corresponding author), Stockholm Univ, Dept Phys Geog &amp; Quarternary Geol, SE-10691 Stockholm, Sweden.</t>
  </si>
  <si>
    <t>classe@nalgeo.su.se</t>
  </si>
  <si>
    <t>10.1002/jqs.1130</t>
  </si>
  <si>
    <t>271IM</t>
  </si>
  <si>
    <t>WOS:000253782100006</t>
  </si>
  <si>
    <t>Miyazaki, K; Iwasaki, T</t>
  </si>
  <si>
    <t>Miyazaki, Kazuyuki; Iwasaki, Toshiki</t>
  </si>
  <si>
    <t>The gradient genesis of stratospheric trace species in the subtropics and around the polar vortex</t>
  </si>
  <si>
    <t>QUASI-BIENNIAL OSCILLATION; HALOGEN OCCULTATION EXPERIMENT; MIDLATITUDE LOWER STRATOSPHERE; BREAKING PLANETARY-WAVES; MIDDLE LATITUDES; EFFECTIVE DIFFUSIVITY; ISENTROPIC TRANSPORT; QBO VARIATIONS; NITROUS-OXIDE; SURF ZONE</t>
  </si>
  <si>
    <t>Mechanisms that control the formation and decay of meridional gradients in stratospheric trace species in the subtropics and around the polar vortex are investigated using a gradient genesis equation that uses mass-weighted isentropic zonal means. Application of this method to global nitrous oxide (N2O) data output from a global chemical transport model shows that mean vertical transport increases the meridional tracer gradient from the subtropics to midlatitudes through the shearing deformation, particularly related to overturning of the Brewer-Dobson circulation. Mean meridional transport advects the subtropical tracer gradient toward midlatitudes, while the eddy stairstep effect, steepening at the edge of the well-mixed region because of a meridional gradient in the diffusion coefficient, increases the tracer gradient in the subtropics and around the polar vortex. Mechanisms controlling the evolution of the tracer gradients in the subtropics differ between spring and autumn. The autumnal subtropical tracer gradient maximum is generated mainly from shearing deformation of the mean vertical transport, but less from mean and eddy meridional fluxes. In spring, the eddy stairstep effect also contributes to the generation of the subtropical tracer gradient maximum. Strong divergence forces stretching deformation that causes the springtime subtropical tracer gradient to decay. The gradient genesis mechanism around the Antarctic polar vortex is significantly different from that in the subtropics. Development of the tracer gradient around the Antarctic polar vortex is mostly controlled by mean meridional stretching motion in the middle stratosphere. Vertical advection and eddy smoothing effects flatten the tracer gradient as the polar vortex decays.</t>
  </si>
  <si>
    <t>[Miyazaki, Kazuyuki] Japan Agcy Marine Earth Sci &amp; Technol, Frontier Res Ctr Global Change, Kanazawa Ku, Yokohama, Kanagawa 2360001, Japan; [Iwasaki, Toshiki] Tohoku Univ, Grad Sch Sci, Dept Geophys, Sendai, Miyagi 980, Japan</t>
  </si>
  <si>
    <t>Japan Agency for Marine-Earth Science &amp; Technology (JAMSTEC); Tohoku University</t>
  </si>
  <si>
    <t>Miyazaki, K (corresponding author), Japan Agcy Marine Earth Sci &amp; Technol, Frontier Res Ctr Global Change, Kanazawa Ku, 3173-25 Showa Machi, Yokohama, Kanagawa 2360001, Japan.</t>
  </si>
  <si>
    <t>kmiyazaki@jamstec.go.jp</t>
  </si>
  <si>
    <t>Iwasaki, Toshiki/AAE-1601-2019; Miyazaki, Kazuyuki/AAL-1785-2021</t>
  </si>
  <si>
    <t>Iwasaki, Toshiki/0000-0003-2110-0687; Miyazaki, Kazuyuki/0000-0002-1466-4655</t>
  </si>
  <si>
    <t>10.1175/2007JAS2403.1</t>
  </si>
  <si>
    <t>266BP</t>
  </si>
  <si>
    <t>WOS:000253406600011</t>
  </si>
  <si>
    <t>Yoo, KC; Yoon, HI; Lee, JI; Lim, HS</t>
  </si>
  <si>
    <t>Yoo, Kyu-Cheul; Yoon, Ho Il; Lee, Jae Il; Lim, Hyoun Soo</t>
  </si>
  <si>
    <t>Glaciomarine sedimentation on the continental rise from the Bellingshausen Sea, West Antarctica</t>
  </si>
  <si>
    <t>JOURNAL OF THE GEOLOGICAL SOCIETY OF KOREA</t>
  </si>
  <si>
    <t>Korean</t>
  </si>
  <si>
    <t>West Antarctica; Bellingshausen Sea; glaciomarine sedimentation; continental rise; sediment drift</t>
  </si>
  <si>
    <t>The effects of glaciomarine sedimentary processes are recognised from variation of sedimentary facies in two deep sea cores taken from the continental rise of the western Antarctic Peninsula. Two sediment cores (one gravity core and one piston core) were visually described, logged for magnetic susceptibility, and X-radiographed. Their analyses were performed for grain size, geochemistry, and clay minerals. Three sediment types associated with distinct sedimentary processes of last glacial, deglaciation and Holocene are recognized: (1) Terrigenous mud of glacial sediment accumulated from a combination of sedimentary processes including contour/turbidity currents and turbid plumes, (2) slightly bioturbated silt mud derived from meltwater discharges, and (3) hemipelagic mud of interglacial sediment accumulated from the pelagic settling of bioclasts and ice-rafted/wind-transported detritus. Two depositional settings are interpreted within sediment drift 1 (side of the drift) and sediment drift 3 (top of the upper rise), each characterized by the dominance/interaction of one or several depositional processes.</t>
  </si>
  <si>
    <t>[Yoo, Kyu-Cheul; Yoon, Ho Il; Lee, Jae Il; Lim, Hyoun Soo] KORDI, Korea Polar Res Inst, Songdo Technopk, Incheon 406840, South Korea</t>
  </si>
  <si>
    <t>Yoo, KC (corresponding author), KORDI, Korea Polar Res Inst, Songdo Technopk, Incheon 406840, South Korea.</t>
  </si>
  <si>
    <t>kcyoo@kopri.re.kr</t>
  </si>
  <si>
    <t>Lim, Hyoun Soo/AAC-5499-2022</t>
  </si>
  <si>
    <t>Lim, Hyoun Soo/0000-0002-2489-4470</t>
  </si>
  <si>
    <t>0435-4036</t>
  </si>
  <si>
    <t>2288-7377</t>
  </si>
  <si>
    <t>J GEOL SOC KOREA</t>
  </si>
  <si>
    <t>J. Geol. Soc. Korea</t>
  </si>
  <si>
    <t>VH6WP</t>
  </si>
  <si>
    <t>WOS:000453968000003</t>
  </si>
  <si>
    <t>Ritz, DA</t>
  </si>
  <si>
    <t>Ritz, David A.</t>
  </si>
  <si>
    <t>Gut residence time in pelagic crustaceans</t>
  </si>
  <si>
    <t>JOURNAL OF THE MARINE BIOLOGICAL ASSOCIATION OF THE UNITED KINGDOM</t>
  </si>
  <si>
    <t>gut residence time; pelagic crustaceans; continuous feeding; size</t>
  </si>
  <si>
    <t>PARAMESOPODOPSIS-RUFA FENTON; EUPHAUSIA-SUPERBA; ANTARCTIC KRILL; GRAZING RATES; MYSIDACEA; TEMPERATURE; DYNAMICS; EGESTION; FOOD</t>
  </si>
  <si>
    <t>Gut residence time (GRT) is often reported to be extremely variable among crustaceans. In this study, GRT was measured in tethered mysids that were fed continuously, and appearance of the first faecal pellet was found to be quite consistent averaging 1.6 h. There was no significant difference between GRT in those mysids field singly and those accompanied by free-swimming conspecifics, even though previous studies have shown metabolic benefits in social behaviour. Gut residence time data from a range of pelagic crustaceans feeding continuously showed a clear linear relationship with size. It appears that, when feeding ceases and crustaceans are allowed to clear their guts in filtered water, GRT can be very long and variable. However, when feeding is continuous, GRT can be relatively short and cosistent.</t>
  </si>
  <si>
    <t>Univ Tasmania, Sch Zool, Hobart, Tas 7001, Australia</t>
  </si>
  <si>
    <t>Ritz, DA (corresponding author), Univ Tasmania, Sch Zool, Private Bag 5,GPO Hobart, Hobart, Tas 7001, Australia.</t>
  </si>
  <si>
    <t>Davjd.Ritz@utas.edu.au</t>
  </si>
  <si>
    <t>0025-3154</t>
  </si>
  <si>
    <t>J MAR BIOL ASSOC UK</t>
  </si>
  <si>
    <t>J. Mar. Biol. Assoc. U.K.</t>
  </si>
  <si>
    <t>10.1017/S0025315408000118</t>
  </si>
  <si>
    <t>278PK</t>
  </si>
  <si>
    <t>WOS:000254298600007</t>
  </si>
  <si>
    <t>Yunoki, K; Ishikawa, H; Fukui, Y; Ohnishi, M</t>
  </si>
  <si>
    <t>Yunoki, Keita; Ishikawa, Hajime; Fukui, Yutaka; Ohnishi, Masao</t>
  </si>
  <si>
    <t>Chemical properties of epidermal lipids, especially sphingolipids, of the Antarctic minke whale</t>
  </si>
  <si>
    <t>LIPIDS</t>
  </si>
  <si>
    <t>cerebroside; sphingomyelin; complex lipids; sphingolipid; ceramide; marine mammal; whale; cetacean; epidermis; galactose</t>
  </si>
  <si>
    <t>STRATUM-CORNEUM CERAMIDES; BETA-GLUCOCEREBROSIDASE; GAS-CHROMATOGRAPHY; SPERM WHALE; WAX ESTERS; PIG; GLUCOSYLCERAMIDES; PRECURSORS; SEPARATION; TISSUES</t>
  </si>
  <si>
    <t>It is well known that sphingolipids specifically exist in the terrestrial mammal epidermis and correlate with skin barrier functions. However, the lipid properties of the marine mammal epidermis have not been examined in detail. We thus investigated the chemical composition of lipid components, especially sphingolipids, in the black epidermis (outer skin) of Antarctic minke whales (six mature and six immature specimens). Complex lipid fractions mainly contained cerebroside (CE), cholesteryl sulfate and sphingomyelin (SM), as well as two glycerophospholipids. Moreover, in the superficial layer of the black epidermis, CE was richly abundant but phospholipids were scarce. As component fatty acids, the nonhydroxy monounsaturated very long chain fatty acids (VLFA) within 34 carbons were generally present in CE and SM in the black epidermis. CE also consisted of alpha-hydroxy fatty acids with monounsaturation within C34 (17%) and a slight proportion of omega-hydroxy ones (32:1 and 34:1), the latter being probably derived from acyl-CE. Component sphingoid bases of both sphingolipids were predominantly 4-sphingenine (64%), followed by a C16 analogue (21%). When comparing these by different maturities, mature whales showed sphingolipid profiles with higher levels of unsaturated fatty acids and with shorter sphingoid base chains than those of immature ones. Component analysis revealed that CE sugars were 67% glucose and 33% galactose, and alpha-hydroxy fatty acids only bound to galactose.</t>
  </si>
  <si>
    <t>[Yunoki, Keita; Fukui, Yutaka; Ohnishi, Masao] Obihiro Univ Agr &amp; Vet Med, Dept Agr &amp; Life Sci, Obihiro, Hokkaido 0808555, Japan; [Ishikawa, Hajime] Inst Cetacean Res, Toyomi, Tokyo 1040055, Japan</t>
  </si>
  <si>
    <t>Obihiro University of Agriculture &amp; Veterinary Medicine</t>
  </si>
  <si>
    <t>Ohnishi, M (corresponding author), Obihiro Univ Agr &amp; Vet Med, Dept Agr &amp; Life Sci, Obihiro, Hokkaido 0808555, Japan.</t>
  </si>
  <si>
    <t>yunoki@obihiro.ac.jp; mohnishi@obihiro.ac.jp</t>
  </si>
  <si>
    <t>0024-4201</t>
  </si>
  <si>
    <t>Lipids</t>
  </si>
  <si>
    <t>10.1007/s11745-007-3145-2</t>
  </si>
  <si>
    <t>Biochemistry &amp; Molecular Biology; Nutrition &amp; Dietetics</t>
  </si>
  <si>
    <t>259YM</t>
  </si>
  <si>
    <t>WOS:000252976800008</t>
  </si>
  <si>
    <t>McGaughran, A; Hogg, ID; Stevens, MI</t>
  </si>
  <si>
    <t>McGaughran, Angela; Hogg, Ian D.; Stevens, Mark I.</t>
  </si>
  <si>
    <t>Patterns of population genetic structure for springtails and mites in southern Victoria Land, Antarctica</t>
  </si>
  <si>
    <t>glacial refugia; mitochondrial DNA; Stereotydeus mollis; Gomphiocephalus hodgsoni; phylogeography</t>
  </si>
  <si>
    <t>GOMPHIOCEPHALUS-HODGSONI COLLEMBOLA; LARSEMANN HILLS; ADAPTIVE RADIATION; EAST ANTARCTICA; GLACIAL REFUGIA; ICE-FREE; ACARI; ISLAND; HEXAPODA; HISTORY</t>
  </si>
  <si>
    <t>We sequenced the mitochondrial (mt) DNA cytochrome c oxidase subunit I gene to examine comparative phylogeographic patterns for the springtail Gomphiocephalus hodgsoni and the mite Stereotydeus mollis throughout their ranges in southern Victoria Land, Antarctica. Our aim was to extend previous genetic work to encompass a large ice-free area in the Dry Valleys. In particular, we sought to determine if this new region harboured high levels of genetic diversity and if patterns of genetic structure were congruent across taxa. Phylogenetic and nested clade analyses for G. hodgsoni and S. mollis showed similar patterns of population sub-structuring among locations and highlighted several potential refugia that may have existed during glacial maxima. We identified greater levels of genetic divergence in S. mollis and suggest that there is a nucleotide substitution (mutation) rate difference between S. mollis and G. hodgsoni, and/or that S. mollis has had a longer association with the Antarctic landscape. (C) 2007 Elsevier Inc. All rights reserved.</t>
  </si>
  <si>
    <t>[McGaughran, Angela; Stevens, Mark I.] Massey Univ, Allan Wilson Ctr Mol Ecol &amp; Evolut, Palmerston North, New Zealand; [McGaughran, Angela; Hogg, Ian D.] Univ Waikato, Ctr Biodivers &amp; Ecol Res, Hamilton, New Zealand; [Stevens, Mark I.] Monash Univ, Sch Biol Sci, Clayton, Vic, Australia</t>
  </si>
  <si>
    <t>Massey University; University of Waikato; Monash University</t>
  </si>
  <si>
    <t>McGaughran, A (corresponding author), Massey Univ, Allan Wilson Ctr Mol Ecol &amp; Evolut, Private Bag 11-222, Palmerston North, New Zealand.</t>
  </si>
  <si>
    <t>a.mcgaughran@massey.ac.nz</t>
  </si>
  <si>
    <t>Hogg, Ian D./HNS-7393-2023; McGaughran, Angela/C-5916-2014</t>
  </si>
  <si>
    <t>Hogg, Ian D./0000-0002-6685-0089; McGaughran, Angela/0000-0002-3429-8699</t>
  </si>
  <si>
    <t>1095-9513</t>
  </si>
  <si>
    <t>10.1016/j.ympev.2007.10.003</t>
  </si>
  <si>
    <t>276ID</t>
  </si>
  <si>
    <t>WOS:000254133600015</t>
  </si>
  <si>
    <t>Rignot, E; Bamber, JL; Van Den Broeke, MR; Davis, C; Li, YH; Van De Berg, WJ; Van Meijgaard, E</t>
  </si>
  <si>
    <t>Rignot, Eric; Bamber, Jonathan L.; Van Den Broeke, Michiel R.; Davis, Curt; Li, Yonghong; Van De Berg, Willem Jan; Van Meijgaard, Erik</t>
  </si>
  <si>
    <t>Recent Antarctic ice mass loss from radar interferometry and regional climate modelling</t>
  </si>
  <si>
    <t>BALANCE; SNOWFALL; GLACIER</t>
  </si>
  <si>
    <t>Large uncertainties remain in the current and future contribution to sea level rise from Antarctica. Climate warming may increase snowfall in the continent's interior(1-3), but enhance glacier discharge at the coast where warmer air and ocean temperatures erode the buttressing ice shelves(4-11). Here, we use satellite interferometric synthetic-aperture radar observations from 1992 to 2006 covering 85% of Antarctica's coastline to estimate the total mass flux into the ocean. We compare the mass fluxes from large drainage basin units with interior snow accumulation calculated from a regional atmospheric climate model for 1980 to 2004. In East Antarctica, small glacier losses in Wilkes Land and glacier gains at the mouths of the Filchner and Ross ice shelves combine to a near-zero loss of 4 +/- 61 Gt yr(-1). In West Antarctica, widespread losses along the Bellingshausen and Amundsen seas increased the ice sheet loss by 59% in 10 years to reach 132 +/- 60 Gt yr(-1) in 2006. In the Peninsula, losses increased by 140% to reach 60 +/- 46 Gt yr(-1) in 2006. Losses are concentrated along narrow channels occupied by outlet glaciers and are caused by ongoing and past glacier acceleration. Changes in glacier flow therefore have a significant, if not dominant impact on ice sheet mass balance.</t>
  </si>
  <si>
    <t>[Rignot, Eric] Univ Calif Irvine, Irvine, CA 92697 USA; [Rignot, Eric] CALTECH, Jet Prop Lab, Pasadena, CA 91109 USA; [Rignot, Eric] Ctr Estudios Cient, Valdivia, Chile; [Bamber, Jonathan L.] Univ Bristol, Bristol BS8 1SS, Avon, England; [Van Den Broeke, Michiel R.; Van De Berg, Willem Jan] Univ Utrecht, Inst Marine &amp; Atmospher Res IMAU, NL-3584 CC Utrecht, Netherlands; [Davis, Curt; Li, Yonghong] Univ Missouri, Columbia, MO 65211 USA; [Van Meijgaard, Erik] Royal Netherlands Meteorol Inst KNMI, NL-3732 GK De Bilt, Netherlands</t>
  </si>
  <si>
    <t>University of California System; University of California Irvine; National Aeronautics &amp; Space Administration (NASA); NASA Jet Propulsion Laboratory (JPL); California Institute of Technology; University of Bristol; Utrecht University; University of Missouri System; University of Missouri Columbia; Royal Netherlands Meteorological Institute</t>
  </si>
  <si>
    <t>Van den Broeke, Michiel R./F-7867-2011; Rignot, Eric/A-4560-2014; van de Berg, Willem Jan/H-4385-2011; Bamber, Jonathan/C-7608-2011; Jullion, Loic/B-3304-2011</t>
  </si>
  <si>
    <t>Van den Broeke, Michiel R./0000-0003-4662-7565; Rignot, Eric/0000-0002-3366-0481; van de Berg, Willem Jan/0000-0002-8232-2040; Bamber, Jonathan/0000-0002-2280-2819; Jullion, Loic/0000-0001-6269-6750</t>
  </si>
  <si>
    <t>NERC [NE/E004032/1] Funding Source: UKRI; Natural Environment Research Council [NE/E004032/1] Funding Source: researchfish; Directorate For Geosciences; Div Atmospheric &amp; Geospace Sciences [1008847] Funding Source: National Science Foundation</t>
  </si>
  <si>
    <t>NERC(UK Research &amp; Innovation (UKRI)Natural Environment Research Council (NERC)); Natural Environment Research Council(UK Research &amp; Innovation (UKRI)Natural Environment Research Council (NERC)); Directorate For Geosciences; Div Atmospheric &amp; Geospace Sciences(National Science Foundation (NSF)NSF - Directorate for Geosciences (GEO))</t>
  </si>
  <si>
    <t>10.1038/ngeo102</t>
  </si>
  <si>
    <t>309AY</t>
  </si>
  <si>
    <t>WOS:000256433300013</t>
  </si>
  <si>
    <t>Corr, HFJ; Vaughan, DG</t>
  </si>
  <si>
    <t>Corr, Hugh F. J.; Vaughan, David G.</t>
  </si>
  <si>
    <t>A recent volcanic eruption beneath the West Antarctic ice sheet</t>
  </si>
  <si>
    <t>PINE ISLAND GLACIER; AMUNDSEN SEA SECTOR; THICKNESS; MODEL; LAND</t>
  </si>
  <si>
    <t>Indirect evidence suggests that volcanic activity occurring beneath the West Antarctic ice sheet influences ice flow and sheet stability(1-3). However, only volcanoes that protrude through the ice sheet(4) and those inferred from geophysical techniques(1,2) have been mapped so far. Here we analyse radar data from the Hudson Mountains, West Antarctica(5), that contain reflections from within the ice that had previously been interpreted erroneously as the ice-sheet bed. We show that the reflections are present within an elliptical area of about 23,000km(2) that contains tephra from an explosive volcanic eruption. The tephra layer is thickest at a subglacial topographic high, which we term the Hudson Mountains Subglacial Volcano. The layer depth dates the eruption at 207 BC +/- 240 years, which matches exceptionally strong but previously unattributed conductivity signals in nearby ice cores. The layer contains 0.019 - 0.31 km(3) of tephra, which implies a volcanic explosive index of 3-4. Production and episodic release of water from the volcano probably affected ice flow at the time of the eruption. Ongoing volcanic heat production may have implications for contemporary ice dynamics in this glacial system.</t>
  </si>
  <si>
    <t>[Corr, Hugh F. J.; Vaughan, David G.] British Antarctic Survey, NERC, Cambridge CB3 0ET, England</t>
  </si>
  <si>
    <t>Corr, HFJ (corresponding author), British Antarctic Survey, NERC, Cambridge CB3 0ET, England.</t>
  </si>
  <si>
    <t>h.corr@bas.ac.uk</t>
  </si>
  <si>
    <t>Corr, Hugh/C-5398-2011; Vaughan, David/C-8348-2011</t>
  </si>
  <si>
    <t>Vaughan, David/0000-0002-9065-0570; Lunev, Pavel/0000-0002-9422-4536</t>
  </si>
  <si>
    <t>NERC [bas010018] Funding Source: UKRI; Directorate For Geosciences; Div Atmospheric &amp; Geospace Sciences [0852775] Funding Source: National Science Foundation; Natural Environment Research Council [bas010018] Funding Source: researchfish</t>
  </si>
  <si>
    <t>NERC(UK Research &amp; Innovation (UKRI)Natural Environment Research Council (NERC)); Directorate For Geosciences; Div Atmospheric &amp; Geospace Sciences(National Science Foundation (NSF)NSF - Directorate for Geosciences (GEO)); Natural Environment Research Council(UK Research &amp; Innovation (UKRI)Natural Environment Research Council (NERC))</t>
  </si>
  <si>
    <t>10.1038/ngeo106</t>
  </si>
  <si>
    <t>WOS:000256433300017</t>
  </si>
  <si>
    <t>Amelio, D; Garofalo, F; Brunelli, E; Loong, AM; Wong, WP; Ip, YK; Tota, B; Cerra, MC</t>
  </si>
  <si>
    <t>Amelio, Daniela; Garofalo, Filippo; Brunelli, Elvira; Loong, Ai May; Wong, Wai Peng; Ip, Yuen Kwong; Tota, Bruno; Cerra, Maria Carmela</t>
  </si>
  <si>
    <t>Differential NOS expression in freshwater and aestivating Protopterus dolloi (lungfish):: Heart vs kidney readjustments</t>
  </si>
  <si>
    <t>NITRIC OXIDE-BIOLOGY AND CHEMISTRY</t>
  </si>
  <si>
    <t>Protopterus dolloi; aestivation; heart; kidney; nitric oxide synthase</t>
  </si>
  <si>
    <t>NITRIC-OXIDE SYNTHASE; BLOODED TREMATOMUS-BERNACCHII; HEMOGLOBINLESS CHIONODRACO-HAMATUS; HIBERNATING GROUND-SQUIRREL; AFRICAN LUNGFISH; ANTARCTIC TELEOSTS; RESPIRATORY PROPERTIES; ARGININE-VASOTOCIN; ANGUILLA-ANGUILLA; FISH</t>
  </si>
  <si>
    <t>African lungfish Protopterus dolloi is an obligatory air-breather, which aestivates in a cocoon during the dry season. Aestivation associates with functional modifications in many tissues and organs, including heart and kidney. Due to its pleiotropic modulatory effects, nitric oxide (NO), generated by nitric oxide synthases (NOSs), may coordinate organ rearrangement, allowing adaptive adjustments under stressful environmental conditions. By immunofluorescence, Western blotting and NADPH-diaphorase, we examined cardiac and renal localization and activity of NOSs isoforms in both freshwater (FW) and aestivating [6 days (6DA) and 40 days (40DA) of estivation] P. dolloi. In heart and kidney endothelial NOS (eNOS) is the major isoform with respect to inducible and neuronal NOS (iNOS and nNOS, respectively). Cardiac eNOS locates in the epicardium, the trabecular endothelial endocardium, and myocardiocytes of both FW and aestivating fish. Western blotting revealed that cardiac eNOS expression increases in 6DA, but decreases in 40DA fish. In FW fish kidney eNOS is present in vascular endothelial cells and in podocytes of renal corpuscles. In tubular epithelial cells it is restricted to the apical pole. With aestivation, both renal localization and expression of eNOS increase. NADPH-diaphorase revealed an enhancement of cardiac and renal NOS activities during aestivation. Results suggest that in P. dolloi NO contributes, in an autocrine-paracrine fashion, to cardiac and renal readjustments during aestivation. Our findings are of evolutionary interest, since they document for the first time the presence of a NOS system in a ancestral fish, indicative of deep phylogenetic roots of NO bio-synthesis. (c) 2007 Elsevier Inc. All rights reserved.</t>
  </si>
  <si>
    <t>[Amelio, Daniela; Garofalo, Filippo; Tota, Bruno; Cerra, Maria Carmela] Univ Calabria, Dept Cellular Biol, I-87030 Arcavacata Di Rende, CS, Italy; [Amelio, Daniela; Cerra, Maria Carmela] Univ Calabria, Dept Pharmacobiol, I-87030 Arcavacata Di Rende, CS, Italy; [Brunelli, Elvira] Univ Calabria, Dept Ecol, I-87030 Arcavacata Di Rende, CS, Italy; [Loong, Ai May; Wong, Wai Peng; Ip, Yuen Kwong] Natl Univ Singapore, Dept Biol Sci, Singapore 117543, Singapore</t>
  </si>
  <si>
    <t>University of Calabria; University of Calabria; University of Calabria; National University of Singapore</t>
  </si>
  <si>
    <t>Tota, B (corresponding author), Univ Calabria, Dept Cellular Biol, I-87030 Arcavacata Di Rende, CS, Italy.</t>
  </si>
  <si>
    <t>tota@unical.it</t>
  </si>
  <si>
    <t>Brunelli, Elvira/AGR-1617-2022; Ip, Yuen Kwong/H-8041-2012</t>
  </si>
  <si>
    <t>Brunelli, Elvira/0000-0003-3669-1395; Garofalo, Filippo/0000-0002-4211-3850; Ip, Yuen Kwong/0000-0001-9124-7911; Amelio, Daniela/0000-0002-5543-8531; Cerra, Maria Carmela/0000-0002-2091-928X</t>
  </si>
  <si>
    <t>1089-8603</t>
  </si>
  <si>
    <t>NITRIC OXIDE-BIOL CH</t>
  </si>
  <si>
    <t>Nitric Oxide-Biol. Chem.</t>
  </si>
  <si>
    <t>10.1016/j.niox.2007.10.004</t>
  </si>
  <si>
    <t>254SP</t>
  </si>
  <si>
    <t>WOS:000252608600001</t>
  </si>
  <si>
    <t>Polnikov, VG; Dymov, VI; Pasechnik, TA; Lavrenov, IV; Abuzyarov, ZK; Sannasiraj, SA</t>
  </si>
  <si>
    <t>Polnikov, V. G.; Dymov, V. I.; Pasechnik, T. A.; Lavrenov, I. V.; Abuzyarov, Z. K.; Sannasiraj, S. A.</t>
  </si>
  <si>
    <t>Testing and verifying the wind wave model with an optimized source function</t>
  </si>
  <si>
    <t>With the purpose of revealing the actual advantages of the new source function that was earlier proposed in [5] for use in numerical wind wave models, its testing and verification was carried out by means of modification of the WAM (Cycle-4) model. The verification was performed on the basis of a comparison of the results of wave simulation for a given wind field with the buoy observation data obtained in three oceanic regions. In the Barents Sea, this kind of comparison was made for wave observations from a single buoy with an interval of 6 hours for a period of 3 years. In two regions of the North Atlantic, the comparison was performed for 3 buoys in both regions for observation periods of 30 days with an interval of 1 hour. Estimations of the simulation accuracy were obtained for a series of wind wave parameters, and they were compared with the original and modified WAM model. Advantages of the modified model consisting of the enhancement of the calculation speed by 20-25% and a 1.5- to 2-fold increase in the simulation accuracy for the significant wave height and the mean period were proved.</t>
  </si>
  <si>
    <t>[Polnikov, V. G.] Russian Acad Sci, Obukhov Inst Phys Atmosphere, Moscow, Russia; [Dymov, V. I.; Pasechnik, T. A.] Arctic &amp; Antarctic Res Inst, St Petersburg 199226, Russia; [Abuzyarov, Z. K.] Hydrometeoctr Russian Federat, Moscow, Russia; [Sannasiraj, S. A.] Indian Inst Technol, Madras 600036, Tamil Nadu, India</t>
  </si>
  <si>
    <t>Russian Academy of Sciences; Obukhov Institute of Atmospheric Physics of Russian Academy of Sciences; Arctic &amp; Antarctic Research Institute; Indian Institute of Technology System (IIT System); Indian Institute of Technology (IIT) - Madras</t>
  </si>
  <si>
    <t>Polnikov, VG (corresponding author), Russian Acad Sci, Obukhov Inst Phys Atmosphere, Moscow, Russia.</t>
  </si>
  <si>
    <t>polnikov@mail.ru</t>
  </si>
  <si>
    <t>A, Sannasiraj S/AAA-1808-2019</t>
  </si>
  <si>
    <t>Sannasi Annamalaisamy, Sannasiraj/0000-0002-5788-6696</t>
  </si>
  <si>
    <t>10.1134/S0001437008010025</t>
  </si>
  <si>
    <t>280QC</t>
  </si>
  <si>
    <t>WOS:000254440300002</t>
  </si>
  <si>
    <t>Wheatley, KE; Bradshaw, CJA; Harcourt, RG; Hindell, MA</t>
  </si>
  <si>
    <t>Wheatley, Kathryn E.; Bradshaw, Corey J. A.; Harcourt, Robert G.; Hindell, Mark A.</t>
  </si>
  <si>
    <t>Feast or famine: evidence for mixed capital-income breeding strategies in Weddell seals</t>
  </si>
  <si>
    <t>capital breeding; energy expenditure; income breeding; Leptonychotes weddellii; milk energy</t>
  </si>
  <si>
    <t>SOUTHERN ELEPHANT SEALS; MILK-COMPOSITION; LACTATION PERFORMANCE; MATERNAL MASS; FOOD-INTAKE; GREY SEALS; GRAY SEALS; PUP GROWTH; ENERGETICS; SURVIVAL</t>
  </si>
  <si>
    <t>Evolved patterns of resource expenditure for reproduction have resulted in a life history continuum across species. A strictly capital-breeding strategy relies extensively on stored energy for reproduction, whereas income breeding uses energy acquired throughout the reproductive period. However, facultative income breeding has been shown in some classically capital-breeding animals, and was originally thought to provide a nutritional refuge for smaller females incapable of securing sufficient reserves during pre-partum foraging. We examined milk composition and milk output for the Weddell seal to determine to what degree lactation was aided by food intake, and what factors contributed to its manifestation. Milk composition was independent of maternal post-partum mass and condition, but did change over lactation. Changes were most likely in response to energetic and nutritional demands of the pup at different stages of development. During early lactation, females fasted and devoted 54.9% of total energy loss to milk production. Later in lactation 30.5% more energy was devoted to milk production and evidence suggested that larger females fed more during lactation than smaller females. It appears that Weddell seals may exhibit a flexible strategy to adjust reproductive investment to local resource levels by taking advantage of periods when prey are occasionally abundant, although it is restricted to larger females possessing the physiological capacity to dive for longer and exploit different resources during lactation. This supports the assumption that although body mass and phylogenetic history explain most of the variation in lactation patterns (20-69%), the remaining variation has likely resulted from physiological adaptations to local environmental conditions. Our study confirms that Weddell seals use a mixed capital-income breeding strategy, and that considerable intraspecific variation exists. Questions remain as to the amount of energy gain derived from the income strategy, and the consequences for pup condition and survival.</t>
  </si>
  <si>
    <t>[Wheatley, Kathryn E.; Bradshaw, Corey J. A.; Hindell, Mark A.] Univ Tasmania, Sch Zool, Antarctic Wildlife Res Unit, Hobart, Tas 7001, Australia; [Bradshaw, Corey J. A.] Charles Darwin Univ, Sch Environm Res, Darwin, NT 0909, Australia; [Harcourt, Robert G.] Macquarie Univ, Grad Sch Environm, Marine Mammal Res Grp, N Ryde, NSW 2109, Australia</t>
  </si>
  <si>
    <t>University of Tasmania; Charles Darwin University; Macquarie University</t>
  </si>
  <si>
    <t>Wheatley, KE (corresponding author), Univ Tasmania, Sch Zool, Antarctic Wildlife Res Unit, Private Bag 05, Hobart, Tas 7001, Australia.</t>
  </si>
  <si>
    <t>kew@utas.edu.au</t>
  </si>
  <si>
    <t>Hindell, Mark A/K-1131-2013; Hindell, Mark A/C-8368-2013; Bradshaw, Corey J. A./A-1311-2008</t>
  </si>
  <si>
    <t>Bradshaw, Corey J. A./0000-0002-5328-7741; Harcourt, Robert/0000-0003-4666-2934; Hindell, Mark/0000-0002-7823-7185</t>
  </si>
  <si>
    <t>1432-1939</t>
  </si>
  <si>
    <t>10.1007/s00442-007-0888-7</t>
  </si>
  <si>
    <t>255EM</t>
  </si>
  <si>
    <t>WOS:000252640000002</t>
  </si>
  <si>
    <t>Pasek, M; Lauretta, D</t>
  </si>
  <si>
    <t>Pasek, Matthew; Lauretta, Dante</t>
  </si>
  <si>
    <t>Extraterrestrial flux of potentially prebiotic C, N, and P to the early Earth</t>
  </si>
  <si>
    <t>ORIGINS OF LIFE AND EVOLUTION OF BIOSPHERES</t>
  </si>
  <si>
    <t>meteorite flux; prebiotic material; cohenite; schreibersite; ammonia</t>
  </si>
  <si>
    <t>ORGANIC-MATTER; ANTARCTIC FINDS; IRON-METEORITES; ACCRETION RATE; CRATER FIELD; MODERN FALLS; ORIGIN; CARBON; DISRUPTION; ABUNDANCE</t>
  </si>
  <si>
    <t>With growing evidence for a heavy bombardment period ending 4-3.8 billion years ago, meteorites and comets may have been an important source of prebiotic carbon, nitrogen, and phosphorus on the early Earth. Life may have originated shortly after the late-heavy bombardment, when concentrations of organic compounds and reactive phosphorus were enough to kick life into gear. This work quantifies the sources of potentially prebiotic, extraterrestrial C, N, and P and correlates these fluxes with a comparison to total Ir fluxes, and estimates the effect of atmosphere on the survival of material. We find (1) that carbonaceous chondrites were not a good source of organic compounds, but interplanetary dust particles provided a constant, steady flux of organic compounds to the surface of the Earth, (2) extraterrestrial metallic material was much more abundant on the early Earth, and delivered reactive P in the form of phosphide minerals to the Earth's surface, and (3) large impacts provided substantial local enrichments of potentially prebiotic reagents. These results help elucidate the potential role of extraterrestrial matter in the origin of life.</t>
  </si>
  <si>
    <t>[Pasek, Matthew] Univ Arizona, Tucson, AZ 85721 USA; [Lauretta, Dante] Univ Arizona, Lunar &amp; Planetary Lab, Tucson, AZ 85721 USA</t>
  </si>
  <si>
    <t>University of Arizona; University of Arizona</t>
  </si>
  <si>
    <t>Pasek, M (corresponding author), Univ Arizona, NAI Lapl,1629 E Univ Blvd, Tucson, AZ 85721 USA.</t>
  </si>
  <si>
    <t>Mpasek@lpl.arizona.edu</t>
  </si>
  <si>
    <t>Pasek, Matthew/A-7071-2008</t>
  </si>
  <si>
    <t>Pasek, Matthew/0000-0003-1280-9555</t>
  </si>
  <si>
    <t>0169-6149</t>
  </si>
  <si>
    <t>1573-0875</t>
  </si>
  <si>
    <t>ORIGINS LIFE EVOL B</t>
  </si>
  <si>
    <t>Orig. Life Evol. Biosph.</t>
  </si>
  <si>
    <t>10.1007/s11084-007-9110-5</t>
  </si>
  <si>
    <t>251QU</t>
  </si>
  <si>
    <t>WOS:000252389400002</t>
  </si>
  <si>
    <t>Chwedorzewska, KJ</t>
  </si>
  <si>
    <t>Chwedorzewska, Katarzyna J.</t>
  </si>
  <si>
    <t>Poa annua L. in Antarctic:: searching for the source of introduction</t>
  </si>
  <si>
    <t>Poa annua L.; AFLP; genetic diversity; South Shetlands Islands; Antarctica</t>
  </si>
  <si>
    <t>GENETIC DIVERSITY; VASCULAR PLANTS; INVASIONS; KERGUELEN; ISLANDS; CROZET; AFLP</t>
  </si>
  <si>
    <t>The level of polymorphism, genetic variability and relatedness of a population of Poa annua L. from South Shetlands Islands was studied and compared with results obtained for populations from two potential sources of introduction ( Argentina - Ushuaia and Poland - Dziekanow Lesny) using the amplified fragment length polymorphism (AFLP) approach. Five primer pairs used for AFLP profiling amplified 226 scoreable DNA fragments that were used for Clustral and Factorial analyses. The level of molecular variability among all individuals from all the analysed populations reaches 30%. Clustral and Factorial analyses show that all populations formed clear-cut uniform groups according to their locations. However, population from King George Island show high variability. High genetic diversity may be related with escalated human activity at the area of Arctowski Station, favouring introductions of P. annua from many different sources and by many different vectors.</t>
  </si>
  <si>
    <t>Polish Acad Sci, Dept Antarct Biol, PL-02141 Warsaw, Poland</t>
  </si>
  <si>
    <t>Polish Academy of Sciences</t>
  </si>
  <si>
    <t>Chwedorzewska, KJ (corresponding author), Polish Acad Sci, Dept Antarct Biol, Ustrzycka 10-12, PL-02141 Warsaw, Poland.</t>
  </si>
  <si>
    <t>kchwedorzewska@go2.pl</t>
  </si>
  <si>
    <t>Chwedorzewska, Katarzyna/M-9721-2019; Chwedorzewska, Katarzyna J/A-9480-2008</t>
  </si>
  <si>
    <t>Chwedorzewska, Katarzyna/0000-0001-6860-3666;</t>
  </si>
  <si>
    <t>10.1007/s00300-007-0353-4</t>
  </si>
  <si>
    <t>248YM</t>
  </si>
  <si>
    <t>WOS:000252193100001</t>
  </si>
  <si>
    <t>Guynn, KD; Peterson, MS</t>
  </si>
  <si>
    <t>Guynn, Kim Dawson; Peterson, Mark S.</t>
  </si>
  <si>
    <t>Mercury concentrations in the Patagonian toothfish, Dissostichus eleginoides Smitt 1898, among three distinct stocks</t>
  </si>
  <si>
    <t>Antarctica; Mercury; Patagonian toothfish</t>
  </si>
  <si>
    <t>SOUTHERN-OCEAN; MACQUARIE ISLAND; ATLANTIC; GROWTH; WATERS; DIET; SEA; AGE</t>
  </si>
  <si>
    <t>Patagonian toothfish, Dissostichus eleginoides, collections (n = 186) from three distinct stocks ( two subant-arctic stocks and the stock within the Chilean ZEE) were analyzed for Hg concentration by DMA and comparisons were made by gender, total length (TL), wet weight (WW), and population. There was no difference between TL-WW relationships or Hg concentration by gender within any population across the range examined. The Chilean and Prince Edward Island fish had higher TL-adjusted total Hg concentration than those from the South Georgia and may suggest a possible human health risk. Explanation of these population differences in total Hg may be the actual sample areas and associated hydrogeographic and oceanographic conditions. For example, sampling sites for the Chilean fish lie well outside the Antarctic Convergence whereas the Prince Edward sites straddle the Convergence. The samples obtained from South Georgia lie well within the Antarctic convergence, suggesting that the Polar Front may provide some type of hydrographic barrier as has been shown for this species in terms of larval dispersal and feeding.</t>
  </si>
  <si>
    <t>[Guynn, Kim Dawson] Pascagoula Naval Stn, NOAA, Fisheries Natl Seafood Inspect Lab, Pascagoula, MS 39595 USA; [Peterson, Mark S.] Univ So Mississippi, Dept Coastal Sci, Ocean Springs, MS 39564 USA</t>
  </si>
  <si>
    <t>National Oceanic Atmospheric Admin (NOAA) - USA; University of Southern Mississippi</t>
  </si>
  <si>
    <t>Guynn, KD (corresponding author), Pascagoula Naval Stn, NOAA, Fisheries Natl Seafood Inspect Lab, 100 Singing River Pkwy Bldg 47C, Pascagoula, MS 39595 USA.</t>
  </si>
  <si>
    <t>Kim.Dawson.Guynn@noaa.gov; mark.peterson@usm.edu</t>
  </si>
  <si>
    <t>Peterson, Mark/HTP-1480-2023</t>
  </si>
  <si>
    <t>Peterson, Mark/0000-0002-2853-8182</t>
  </si>
  <si>
    <t>10.1007/s00300-007-0354-3</t>
  </si>
  <si>
    <t>WOS:000252193100002</t>
  </si>
  <si>
    <t>Pociecha, A</t>
  </si>
  <si>
    <t>Pociecha, Agnieszka</t>
  </si>
  <si>
    <t>Density dynamics of Notholca squamula salina Focke (Rotifera) in Lake Wujka, a freshwater Antarctic lake</t>
  </si>
  <si>
    <t>Notholca squamula salina; environmental factors; freshwater lake; salinity; Antarctica; rotifers</t>
  </si>
  <si>
    <t>The Antarctic Lake Wujka (62 degrees 09'28.3 '' S, 58 degrees 27'56.3 '' W), a shallow water body (Z(m) = 1.38 m), situated at c. 15 m from the seashore was sampled at two points (Sp 1 and Sp 2) at 3-day intervals from December 2003 to June 2004. The two sampling points differing in location and depth: Sp 1 (Z(m) = 0.50 m) was the shallowest site, located near the lake outlet, while Sp 2 (Z(m) = 1.38 m) was the deepest spot of the lake. The population density of Notholca squamula salina peaked in June (at 114 ind. l(-1)) at Sp 1, while at Sp 2 peaked in January (80 ind. l(-1)) and May (150 ind. l(-1)). Spearman non-parametric correlations with temperature, salinity, total dissolved solids, conductivity and pH revealed effects that characterize N. squamula salina as a species capable of surviving in a range of aquatic environments, but with a preference for high salinity, food and low temperature. It occurred in highest numbers when the diatom Achnanthes lanceolata var. rostrata (phi estrup) Hust., normally a benthic species, was stirred up into the water during storms that also raised the lake's salinity to above 20 psu.</t>
  </si>
  <si>
    <t>[Pociecha, Agnieszka] Polish Acad Sci, Dept Antarct Biol, PL-02141 Warsaw, Poland</t>
  </si>
  <si>
    <t>Pociecha, A (corresponding author), Polish Acad Sci, Inst Nat Conservat, Dept Freshwater Biol, A Mickiewicz Av 33, PL-31120 Krakow, Poland.</t>
  </si>
  <si>
    <t>pociecha@iop.krakow.pl</t>
  </si>
  <si>
    <t>Pociecha, Agnieszka/0000-0002-0208-8806</t>
  </si>
  <si>
    <t>10.1007/s00300-007-0355-2</t>
  </si>
  <si>
    <t>WOS:000252193100003</t>
  </si>
  <si>
    <t>Low, M; Meyer, L; Southwell, C</t>
  </si>
  <si>
    <t>Low, Matthew; Meyer, Lisa; Southwell, Colin</t>
  </si>
  <si>
    <t>Experimental evaluation of a new ground-based survey method for estimating the density and abundance of nesting Adelie penguins Pygoscelis adeliae</t>
  </si>
  <si>
    <t>Bechervaise island; CCAMLR; Antarctica; line transect; survey methodology; population estimation</t>
  </si>
  <si>
    <t>POPULATION-CHANGES</t>
  </si>
  <si>
    <t>A new ground-based technique for estimating the density of nesting Adelie penguins (Pygoscelis adeliae) within occupied habitat is described and evaluated using an experimental approach with model penguins. In this set-up, an operator takes photos with a camera mounted on a 3-m pole at pre-determined sampling locations within habitat occupied by nesting penguins, and the actual boundaries of the plot in which penguin density is estimated are added post-survey. Density estimates are calculated by overlaying slope-specific templates delineating plot boundaries and distances of known dimensions onto the digital photos to allow a distance-sampling analysis to correct for any negative bias in counts arising from a proportion of penguins being obscured. Experimental assessment of biases in density estimates because of misclassification error was &lt; 2% when compared to true density, indicating that this survey method is effective at accurately estimating penguin density and, therefore, abundance.</t>
  </si>
  <si>
    <t>[Low, Matthew; Meyer, Lisa; Southwell, Colin] Australian Antarctic Div, Dept Environm &amp; Water Resources, Kingston, Tas 7050, Australia; [Low, Matthew] Swedish Univ Agr Sci, Dept Ecol, S-75007 Uppsala, Sweden</t>
  </si>
  <si>
    <t>Australian Antarctic Division; Swedish University of Agricultural Sciences</t>
  </si>
  <si>
    <t>Low, Matthew/D-2292-2013</t>
  </si>
  <si>
    <t>Low, Matthew/0000-0002-7345-6063</t>
  </si>
  <si>
    <t>10.1007/s00300-007-0359-y</t>
  </si>
  <si>
    <t>WOS:000252193100007</t>
  </si>
  <si>
    <t>Robinson, E; Davison, W</t>
  </si>
  <si>
    <t>Robinson, Esme; Davison, William</t>
  </si>
  <si>
    <t>The Antarctic notothenioid fish Pagothenia borchgrevinki is thermally flexible:: acclimation changes oxygen consumption</t>
  </si>
  <si>
    <t>acclimation; oxygen consumption; notothenioid; ventilation; ucrit</t>
  </si>
  <si>
    <t>REPEAT SWIMMING PERFORMANCE; TROUT ONCORHYNCHUS-MYKISS; RAINBOW-TROUT; HIGH-TEMPERATURES; COLD ADAPTATION; METABOLIC-RATE; TIME-COURSE; RECOVERY; EXERCISE; PLUNDERFISH</t>
  </si>
  <si>
    <t>Antarctic marine organisms are considered to have extremely limited ability to respond to environmental temperature change. However, here we show that the Antarctic notothenioid fish Pagothenia borchgrevinki is an exception to this theory. P. borchgrevinki was able to acclimate its resting metabolic rate and resting ventilation frequency after a 5 degrees C rise in temperature. Acute exposure to 4 degrees C resulted in an elevation in metabolic rate (57.8 +/- 4.79 mg O-2 kg(-1) h(-1)) and resting ventilation rate (40.38 +/- 1.61 breaths min(-1)) compared with fish at -1 degrees C (metabolic rate 34.45 +/- 3.12 mg O-2 kg(-1) h(-1); ventilation rate 29.88 +/- 3.72 breaths min(-1)). However, after a 1-month acclimation period, there was no significant difference in the metabolic rate (cold fish 29.52 +/- 3.01; warm fish 31.13 +/- 2.30 mg O-2 kg(-1) h(-1)), or the resting ventilation rate (cold fish 28.75 +/- 0.98; warm fish 34.25 +/- 2.28 breaths min(-1)) of cold and warm acclimated fish. Acclimation changes to the rate of oxygen consumption following exhaustive exercise were complex. The pattern of oxygen consumption during recovery from exhaustive exercise was not significantly different in either cold or warm acclimated fish.</t>
  </si>
  <si>
    <t>[Robinson, Esme; Davison, William] Univ Canterbury, Sch Biol Sci, Christchurch 8020, New Zealand</t>
  </si>
  <si>
    <t>Davison, W (corresponding author), Univ Canterbury, Sch Biol Sci, Private bag 4800, Christchurch 8020, New Zealand.</t>
  </si>
  <si>
    <t>bill.davison@canterbury.ac.nz</t>
  </si>
  <si>
    <t>Robinson, Esme/K-4969-2018</t>
  </si>
  <si>
    <t>Robinson, Esme/0000-0002-6331-044X</t>
  </si>
  <si>
    <t>10.1007/s00300-007-0361-4</t>
  </si>
  <si>
    <t>WOS:000252193100008</t>
  </si>
  <si>
    <t>Casaux, R; Baroni, A; Ramon, A; Favero, M; Silva, P</t>
  </si>
  <si>
    <t>Casaux, R.; Baroni, A.; Ramon, A.; Favero, M.; Silva, P.</t>
  </si>
  <si>
    <t>Aspects of the foraging behaviour of the Antarctic Tern Sterna vittata gaini at Harmony Point, South Shetland Islands</t>
  </si>
  <si>
    <t>Antarctic Tern; diet composition; Antarctica</t>
  </si>
  <si>
    <t>DIET; TRENDS</t>
  </si>
  <si>
    <t>During January and February of 2002 and 2003, we studied the diet of the Antarctic Tern Sterna vittata gaini at two colonies in Nelson Island, South Shetland Islands, by identifying the prey fed to chicks by breeders. The fish Notothenia coriiceps was the main prey in both seasons, followed by the myctophid Electrona antarctica, Antarctic krill Euphausia superba and gammarid amphipods. The contribution of fish to the diet increased as chicks grew older. Fish and amphipods were brought to chicks during the day, whereas adults brought Antarctic krill at sunrise and sunset. Both the duration of the feeding trips and the number of trips per foraging bout varied according to the type of prey caught. Preliminary information suggests that, among other causes, the foraging strategy is strongly influenced by the predation pressure of skuas on chicks. Results are compared with the only two previous study on the diet of the Antarctic Tern at the South Shetland Islands.</t>
  </si>
  <si>
    <t>[Casaux, R.] Inst Antart Argentino, RA-1010 Buenos Aires, DF, Argentina; [Casaux, R.; Favero, M.] Consejo Nacl Invest Cient &amp; Tecn, RA-1033 Buenos Aires, DF, Argentina; [Baroni, A.] Catedra Bromatol, Fac Farm &amp; Bioquim, RA-1113 Buenos Aires, DF, Argentina; [Ramon, A.] Municipalidad Esquel, RA-9200 Chubut, Argentina; [Favero, M.; Silva, P.] Univ Mar del Plata, Fac Ciencias Exactas &amp; Nat, RA-7600 Mar Del Plata, Argentina</t>
  </si>
  <si>
    <t>Instituto Antartico Argentino; Consejo Nacional de Investigaciones Cientificas y Tecnicas (CONICET); University of Buenos Aires; National University of Mar del Plata</t>
  </si>
  <si>
    <t>Casaux, R (corresponding author), Lab Invest Ecol &amp; Sist Anim, Ruta 259 Km,5 Planta Aromaticas, RA-9200 Esquel, Chubut, Argentina.</t>
  </si>
  <si>
    <t>Favero, Marco/AGF-7428-2022</t>
  </si>
  <si>
    <t>Favero, Marco/0000-0003-1293-3417</t>
  </si>
  <si>
    <t>10.1007/s00300-007-0362-3</t>
  </si>
  <si>
    <t>WOS:000252193100009</t>
  </si>
  <si>
    <t>Kock, KH; Pshenichnov, L; Jones, CD; Grörger, J; Riehl, R</t>
  </si>
  <si>
    <t>Kock, Karl-Hermann; Pshenichnov, Leonid; Jones, Christopher D.; Groeger, Joachim; Riehl, Ruediger</t>
  </si>
  <si>
    <t>The biology of the spiny icefish Chaenodraco wilsoni Regan, 1914</t>
  </si>
  <si>
    <t>Southern Ocean; ice fish; krill</t>
  </si>
  <si>
    <t>SOUTH SHETLAND ISLANDS; ANTARCTIC FISH; WEDDELL-SEA; CHAMPSOCEPHALUS-GUNNARI; CHAENOCEPHALUS-ACERATUS; JUVENILE NOTOTHENIOIDS; HARPAGIFER-BISPINIS; NESTING-BEHAVIOR; ROSS-SEA; REPRODUCTION</t>
  </si>
  <si>
    <t>The most abundant ice fish species observed in catches off the northern tip of the Antarctic Peninsula in the last 25-30 years has been the spiny ice fish Chaenodraco wilsoni Regan 1914. C. wilsoni has been exploited on a commercial scale from the late 1970s to the end of the 1980s off Joinville-D'Urville Islands (CCAMLR Statistical Sub-area 48.1) and in the Cosmonauts and Cooperation Seas and Prydz Bay in the Indian Ocean sector (CCAMLR Statistical Division 58.4.2). This paper presents new information on biological features and life history characteristics of C. wilsoni, based on research survey collections along the northern Antarctic Peninsula in 2006 and 2007 and samples taken in the commercial fishery in 1987. Length frequency compositions from the research surveys demonstrated that fish 21-34 cm long predominated in the catches. Sexual maturity is attained at 24-25 cm. Absolute fecundity and relative fecundity is low (1,000-2,500 eggs; 6-12 eggs). Oocyte diameter varied from 4.0 to 4.9 mm very close to spawning. Spawning at the tip of the Antarctic Peninsula is likely to occur in October-November. Remotely operated vehicle deployments in the northern Weddell Sea demonstrated that C. wilsoni exhibit parental nest guarding where males protect the eggs. The incubation period is likely to be 8 months long. Fish feed primarily on Antarctic krill (Euphausia superba) in the Antarctic Peninsula region and in the Cosmonauts and Cooperation Seas while fish take ice krill (Euphausia crystallorophias), Pleuragramma antarcticum and myctophids to some extent in other areas. Age determination still awaits validation. Preliminary ageing attempts suggested a maximum age of about 8-10 years.</t>
  </si>
  <si>
    <t>[Kock, Karl-Hermann; Groeger, Joachim] Budesforschungsanstalt Fischerei, Inst Seefischerei, D-22767 Hamburg, Germany; [Pshenichnov, Leonid] YugNIRO, Lab So Ocean Bioresources, UA-98300 Kerch, Ukraine; [Jones, Christopher D.] NOAA, Natl Marine Fisheries Serv, SW Fisheries Sci Ctr, La Jolla, CA 92037 USA; [Riehl, Ruediger] Univ Dusseldorf, Inst Zool Morphol &amp; Zellbiol, D-40224 Dusseldorf, Germany</t>
  </si>
  <si>
    <t>Research lnstitute of Fisheries &amp; Oceanography; National Oceanic Atmospheric Admin (NOAA) - USA; Heinrich Heine University Dusseldorf</t>
  </si>
  <si>
    <t>Kock, KH (corresponding author), Budesforschungsanstalt Fischerei, Inst Seefischerei, Palmaille 9, D-22767 Hamburg, Germany.</t>
  </si>
  <si>
    <t>karl-hermann.kock@ish.bfa-fisch.de</t>
  </si>
  <si>
    <t>10.1007/s00300-007-0366-z</t>
  </si>
  <si>
    <t>WOS:000252193100013</t>
  </si>
  <si>
    <t>Tooth, S</t>
  </si>
  <si>
    <t>Tooth, Stephen</t>
  </si>
  <si>
    <t>Alid geomorphology: recent progress from an earth system science perspective</t>
  </si>
  <si>
    <t>PROGRESS IN PHYSICAL GEOGRAPHY-EARTH AND ENVIRONMENT</t>
  </si>
  <si>
    <t>LINKING LANDSCAPE PROCESSES; ARID ZONE RIVERS; OKAVANGO DELTA; ATACAMA DESERT; CLIMATE-CHANGE; GRAND-CANYON; TIBETAN PLATEAU; LATE QUATERNARY; ANTARCTIC GLACIATION; AUSTRALIAN MEGAFAUNA</t>
  </si>
  <si>
    <t>Aberystwyth Univ, Inst Geog &amp; Earth Sci, River Basin Dynam &amp; Hydrol Res Grp, Aberystwyth SY23 3DB, Dyfed, Wales; Univ Coll Wales, Inst Geog &amp; Earth Sci, River Basin Dynam &amp; Hydrol Res Grp, Aberystwyth SY23 3DB, Dyfed, Wales</t>
  </si>
  <si>
    <t>Aberystwyth University; Aberystwyth University</t>
  </si>
  <si>
    <t>Tooth, S (corresponding author), Aberystwyth Univ, Inst Geog &amp; Earth Sci, River Basin Dynam &amp; Hydrol Res Grp, Aberystwyth SY23 3DB, Dyfed, Wales.</t>
  </si>
  <si>
    <t>set@aber.ac.uk</t>
  </si>
  <si>
    <t>Tooth, Stephen/B-6105-2013</t>
  </si>
  <si>
    <t>Tooth, Stephen/0000-0001-5714-2606</t>
  </si>
  <si>
    <t>SAGE PUBLICATIONS LTD</t>
  </si>
  <si>
    <t>1 OLIVERS YARD, 55 CITY ROAD, LONDON EC1Y 1SP, ENGLAND</t>
  </si>
  <si>
    <t>0309-1333</t>
  </si>
  <si>
    <t>1477-0296</t>
  </si>
  <si>
    <t>PROG PHYS GEOG</t>
  </si>
  <si>
    <t>Prog. Phys. Geogr.</t>
  </si>
  <si>
    <t>10.1177/0309133308089500</t>
  </si>
  <si>
    <t>294VS</t>
  </si>
  <si>
    <t>WOS:000255435000006</t>
  </si>
  <si>
    <t>Kaplan, MR; Fogwill, CJ; Sugden, DE; Hulton, N; Kubik, PW; Freeman, SPHT</t>
  </si>
  <si>
    <t>Kaplan, M. R.; Fogwill, C. J.; Sugden, D. E.; Hulton, Nat; Kubik, P. W.; Freeman, S. P. H. T.</t>
  </si>
  <si>
    <t>Southern Patagonian glacial chronology for the Last Glacial period and implications for Southern Ocean climate</t>
  </si>
  <si>
    <t>COSMOGENIC NUCLIDE CHRONOLOGY; CENTRAL MAGELLAN-STRAIT; LAGO BUENOS-AIRES; PRODUCTION-RATES; SCALING FACTORS; BAHIA INUTIL; COSMIC-RAYS; ICE-AGE; MAXIMUM; HEMISPHERE</t>
  </si>
  <si>
    <t>The Magellan region of southern South America is in a unique setting, at &gt; 50 degrees S on the equatorial side of the Antarctic Frontal Zone, to record in detail terrestrial glacial to interglacial events. A Be-10 chronology shows growth and millennial fluctuations of a Patagonian Ice Sheet between similar to 25 and 17.6-17.0 cal ka. In the Strait of Magellan, the maximum ice margin position is dated to 24.6 +/- 0.9 ka, and other moraine ages are 18.5 +/- 1.8 and 17.6 +/- 0.2 ka (mean +/- 1 standard deviation). In Bahia Inutil, dated moraine ages are 20.4 +/- 1.2 and 17.3 +/- 0.8 ka. The chronology of the local Last Glacial Maximum (LGM) reveals a record of atmospheric cooling that was broadly in phase with changes in Southern Ocean conditions, such as sea-ice fluctuations and surface water characteristics. Published modeling results indicate that a decline in temperature of similar to 6 degrees C and slight drying over southernmost Patagonia could simulate the growth and sustained presence of an ice sheet to the mapped LGM limit. The terrestrial record in southern Patagonia and marine records in adjacent oceans indicate mean northward movement of the Antarctic Frontal Zone, which caused the last southern South American ice age. The Antarctic Frontal Zone at present lies only 3-5 degrees to the south. Some significant changes in the Magellan region occurred in step with North Atlantic region and the Northern Hemisphere. For example, the overall time span of the last glaciation and the timing of maximum ice extent were similar between the hemispheres, despite maximum local summer insolation intensity in southern South America. Other characteristics of the southern Patagonian glacial history differ from the North Atlantic region, specifically an out-of-phase relationship during deglaciation, which is more similar to that of Southern Ocean and Antarctic records. (C) 2007 Elsevier Ltd. All rights reserved.</t>
  </si>
  <si>
    <t>[Kaplan, M. R.] Columbia Univ, LDEO, Palisades, NY 10964 USA; [Kaplan, M. R.; Fogwill, C. J.; Sugden, D. E.; Hulton, Nat] Univ Edinburgh, Sch Geosci, Edinburgh EH8 9XP, Midlothian, Scotland; [Fogwill, C. J.] Univ Exeter, Sch Geog Archeol &amp; Earth Resources, Exeter EX4 4RJ, Devon, England; [Kubik, P. W.] ETH, Paul Scherrer Inst, Inst Particle Phys, HPK H30, CH-8093 Zurich, Switzerland; [Freeman, S. P. H. T.] Scottish Univ Environm Res Ctr, E Kilbride G75 0QF, Lanark, Scotland</t>
  </si>
  <si>
    <t>Columbia University; University of Edinburgh; University of Exeter; Swiss Federal Institutes of Technology Domain; ETH Zurich; Paul Scherrer Institute; Scottish Universities Research &amp; Reactor Center</t>
  </si>
  <si>
    <t>Kaplan, MR (corresponding author), Columbia Univ, LDEO, Palisades, NY 10964 USA.</t>
  </si>
  <si>
    <t>mkaplan@ldeo.columbia.edu</t>
  </si>
  <si>
    <t>Kaplan, Michael R/D-4720-2011; Fogwill, Christopher/HPF-1150-2023; Fogwill, Chris/AAW-3502-2021; Freeman, Stewart/AAA-6544-2020</t>
  </si>
  <si>
    <t>Fogwill, Chris/0000-0002-6471-1106; Freeman, Stewart/0000-0001-6148-3171</t>
  </si>
  <si>
    <t>Natural Environment Research Council [NE/E018254/1] Funding Source: researchfish; NERC [NE/E018254/1] Funding Source: UKRI</t>
  </si>
  <si>
    <t>10.1016/j.quascirev.2007.09.013</t>
  </si>
  <si>
    <t>296HR</t>
  </si>
  <si>
    <t>WOS:000255534600007</t>
  </si>
  <si>
    <t>Glasser, NF; Jansson, KN; Harrison, S; Kleman, J</t>
  </si>
  <si>
    <t>Glasser, Nell F.; Jansson, Krister N.; Harrison, Stephan; Kleman, Johan</t>
  </si>
  <si>
    <t>The glacial geomorphology and Pleistocene history of South America between 38°S and 56°S</t>
  </si>
  <si>
    <t>COSMOGENIC NUCLIDE CHRONOLOGY; NORTH PATAGONIAN ICEFIELD; LAGO BUENOS-AIRES; TIERRA-DEL-FUEGO; ANTARCTIC COLD REVERSAL; CENTRAL MAGELLAN-STRAIT; ICE-SHEET; LAST GLACIATION; LAKE DISTRICT; YOUNGER DRYAS</t>
  </si>
  <si>
    <t>This paper presents new mapping of the glacial geomorphology of southern South America between latitudes 38 degrees S and 56 degrees S, approximately the area covered by the former Patagonian Ice Sheets. Glacial geomorphological features, including glacial lineations, moraines, meltwater channels, trimlines, sandur and cirques, were mapped from remotely sensed images (Landsat 7 ETM +, pan-sharpened Landsat 7 and ASTER). The landform record indicates that the Patagonian Ice Sheets consisted of 66 main outlet glaciers, together with numerous local cirque glaciers and independent ice domes in the surrounding mountains. In the northern part of the mapped area, in the Chilean Lake District (38-42 degrees S), large piedmont glaciers developed on the western side of the Andes and the maximum positions of these outlet glaciers are, in general, marked by arcuate terminal moraines. To the east of the Andes between 38 degrees S and 42 degrees S, outlet glaciers were more restricted in extent and formed alpine-style valley glaciers. Along the eastern flank of the Andes south of similar to 45 degrees S a series of large fast-flowing outlet glaciers drained the ice sheet. The location of these outlet glaciers was topographically controlled and there was limited scope for interactions between individual lobes. West of the Andes at this latitude, there is geomorphological evidence for an independent ice cap close to sea level on the Taitao Peninsula. The age of this ice cap is unclear but it may represent evidence of glacier growth during the Antarctic Cold Reversal and/or Younger Dryas Chronozone. Maximum glacier positions are difficult to determine along much of the western side of the Andes south of 42 degrees S because of the limited land there, and it is assumed that most of these glaciers had marine termini. In the south-east of the mapped area, in the Fuegan Andes (Cordillera Darwin), the landform record provides evidence of ice-sheet initiation. By adding published dates for glacier advances from the literature we present maps of pre-Last Glacial Maximum (LGM) glacier extent, LGM extent and the positions of other large mapped moraines younger than LGM in age. A number of large moraines occur within the known LGM limits. The age of these moraines is unknown but, since many of them lie well outside the established maximum Neoglacial positions, the possibility that they reflect a return to glacial climates during the Younger Dryas Chronozone or Antarctic Cold Reversal cannot be discounted. (C) 2008 Elsevier Ltd. All rights reserved.</t>
  </si>
  <si>
    <t>[Glasser, Nell F.] Univ Wales, Ctr Glaciol, Inst Geog &amp; Earth Sci, Aberystwyth SY23 3DB, Dyfed, Wales; [Jansson, Krister N.; Kleman, Johan] Stockholm Univ, Dept Phys Geog &amp; Quaternary Geol, SE-10691 Stockholm, Sweden; [Harrison, Stephan] Univ Exeter, Dept Geog, Penryn TR10 9EZ, Cornwall, England</t>
  </si>
  <si>
    <t>Aberystwyth University; Stockholm University; University of Exeter</t>
  </si>
  <si>
    <t>Glasser, NF (corresponding author), Univ Wales, Ctr Glaciol, Inst Geog &amp; Earth Sci, Aberystwyth SY23 3DB, Dyfed, Wales.</t>
  </si>
  <si>
    <t>nfg@aber.ac.uk</t>
  </si>
  <si>
    <t>Glasser, Neil F/C-1971-2012</t>
  </si>
  <si>
    <t>Glasser, Neil/0000-0002-8245-2670</t>
  </si>
  <si>
    <t>10.1016/j.quascirev.2007.11.011</t>
  </si>
  <si>
    <t>WOS:000255534600013</t>
  </si>
  <si>
    <t>Zvyagintsev, AM; Ivanova, NS; Kruchenitskii, GM; Kuznetsova, IN; Lezina, EA</t>
  </si>
  <si>
    <t>Zvyagintsev, A. M.; Ivanova, N. S.; Kruchenitskii, G. M.; Kuznetsova, I. N.; Lezina, E. A.</t>
  </si>
  <si>
    <t>Ozone Content over the Russian Federation in 2007</t>
  </si>
  <si>
    <t>The review is compiled based on the results of the operational of the Total Ozone (TO) Monitoring System in the CIS and Baltic countries, functioning in the operational regime at the Central Aerological Observatory (CAO). Basic TO observational data for each month of the fourth quarter of 2007 and for the year as a whole are summarized. Long-term TO changes at Russian stations are compared with similar changes at two foreign stations in the temperate latitudes of the Northern Hemisphere. Data on the spring Antarctic ozone anomaly of 2007 are considered. Results of regular observations of surface ozone concentration in the Moscow region are also presented.</t>
  </si>
  <si>
    <t>[Zvyagintsev, A. M.; Ivanova, N. S.; Kruchenitskii, G. M.] Cent Aerol Observ, Dolgoprudnyi 141700, Moscow Oblast, Russia; [Kuznetsova, I. N.] Hydrometeorol Res Ctr Russian Federat, Moscow 123242, Russia; [Lezina, E. A.] State Nat Protect Org Mosecomonitoring, Moscow 121019, Russia</t>
  </si>
  <si>
    <t>Zvyagintsev, AM (corresponding author), Cent Aerol Observ, Pervomaiskaya Ul 3, Dolgoprudnyi 141700, Moscow Oblast, Russia.</t>
  </si>
  <si>
    <t>Russian Foundation for Basic Research [06-05-64427]</t>
  </si>
  <si>
    <t>Russian Foundation for Basic Research(Russian Foundation for Basic Research (RFBR)Spanish Government)</t>
  </si>
  <si>
    <t>The work was partly supported by the Russian Foundation for Basic Research ( project 06-05-64427).</t>
  </si>
  <si>
    <t>10.3103/S1068373908020118</t>
  </si>
  <si>
    <t>397QS</t>
  </si>
  <si>
    <t>WOS:000262677800011</t>
  </si>
  <si>
    <t>Le Quéré, C; Rödenbeck, C; Buitenhuis, ET; Conway, TJ; Langenfelds, R; Gomez, A; Labuschagne, C; Ramonet, M; Nakazawa, T; Metzl, N; Gillett, NP; Heimann, M</t>
  </si>
  <si>
    <t>Le Quere, Corinne; Roedenbeck, Christian; Buitenhuis, Erik T.; Conway, Thomas J.; Langenfelds, Ray; Gomez, Antony; Labuschagne, Casper; Ramonet, Michel; Nakazawa, Takakiyo; Metzl, Nicolas; Gillett, Nathan P.; Heimann, Martin</t>
  </si>
  <si>
    <t>Saturation of the Southern Ocean CO2 sink due to recent climate change</t>
  </si>
  <si>
    <t>[Le Quere, Corinne; Buitenhuis, Erik T.] Univ E Anglia, Sch Environm Sci, Norwich NR4 7TJ, Norfolk, England; [Le Quere, Corinne] British Antarctic Survey, Cambridge CB3 0ET, England; [Roedenbeck, Christian; Heimann, Martin] Max Planck Inst Biogeochem, D-07701 Jena, Germany; [Conway, Thomas J.] NOAA, Earth Syst Res Lab, Boulder, CO 80305 USA; [Langenfelds, Ray] CSIRO, Aspendale, Vic 3195, Australia; [Gomez, Antony] Natl Inst Water &amp; Atmospher Res, Wellington, New Zealand; [Labuschagne, Casper] S African Weather Serv, ZA-7599 Stellenbosch, South Africa; [Ramonet, Michel] Inst Pierre Simon Laplace, Lab Sci Climat &amp; Environm, F-91191 Gif Sur Yvette, France; [Nakazawa, Takakiyo] Tohoku Univ, Ctr Atmospher &amp; Ocean Studies, Sendai, Miyagi 9808578, Japan; [Metzl, Nicolas] Univ Paris 06, CNRS, IPSL, LOCEAN, Paris, France; [Gillett, Nathan P.] Univ E Anglia, Sch Environm Sci, Climat Res Unit, Norwich NR4 7TJ, Norfolk, England</t>
  </si>
  <si>
    <t>University of East Anglia; UK Research &amp; Innovation (UKRI); Natural Environment Research Council (NERC); NERC British Antarctic Survey; Max Planck Society; National Oceanic Atmospheric Admin (NOAA) - USA; Commonwealth Scientific &amp; Industrial Research Organisation (CSIRO); National Institute of Water &amp; Atmospheric Research (NIWA) - New Zealand; CEA; Centre National de la Recherche Scientifique (CNRS); Universite Paris Saclay; Universite Paris Cite; Tohoku University; Museum National d'Histoire Naturelle (MNHN); Sorbonne Universite; Centre National de la Recherche Scientifique (CNRS); Universite Paris Cite; University of East Anglia</t>
  </si>
  <si>
    <t>Le Quéré, C (corresponding author), Univ E Anglia, Sch Environm Sci, Norwich NR4 7TJ, Norfolk, England.</t>
  </si>
  <si>
    <t>c.lequere@uea.ac.uk</t>
  </si>
  <si>
    <t>Langenfelds, Raymond L/B-5381-2012; Heimann, Martin/H-7807-2016; Le Quéré, Corinne/C-2631-2017; Buitenhuis, Erik/A-7692-2012</t>
  </si>
  <si>
    <t>Heimann, Martin/0000-0001-6296-5113; Le Quéré, Corinne/0000-0003-2319-0452; metzl, nicolas/0000-0002-1165-1074; Buitenhuis, Erik/0000-0001-6274-5583; Labuschagne, Casper/0000-0002-7125-0029</t>
  </si>
  <si>
    <t>10.1126/science.1147315</t>
  </si>
  <si>
    <t>257AQ</t>
  </si>
  <si>
    <t>WOS:000252772000020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</si>
</sst>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52</v>
      </c>
      <c r="O2" t="s">
        <v>79</v>
      </c>
      <c r="P2" t="s">
        <v>80</v>
      </c>
      <c r="Q2" t="s">
        <v>81</v>
      </c>
      <c r="R2" t="s">
        <v>74</v>
      </c>
      <c r="S2" t="s">
        <v>82</v>
      </c>
      <c r="T2" t="s">
        <v>74</v>
      </c>
      <c r="U2" t="s">
        <v>74</v>
      </c>
      <c r="V2" t="s">
        <v>74</v>
      </c>
      <c r="W2" t="s">
        <v>83</v>
      </c>
      <c r="X2" t="s">
        <v>84</v>
      </c>
      <c r="Y2" t="s">
        <v>74</v>
      </c>
      <c r="Z2" t="s">
        <v>85</v>
      </c>
      <c r="AA2" t="s">
        <v>86</v>
      </c>
      <c r="AB2" t="s">
        <v>87</v>
      </c>
      <c r="AC2" t="s">
        <v>74</v>
      </c>
      <c r="AD2" t="s">
        <v>74</v>
      </c>
      <c r="AE2" t="s">
        <v>74</v>
      </c>
      <c r="AF2" t="s">
        <v>74</v>
      </c>
      <c r="AG2">
        <v>4</v>
      </c>
      <c r="AH2">
        <v>0</v>
      </c>
      <c r="AI2">
        <v>0</v>
      </c>
      <c r="AJ2">
        <v>0</v>
      </c>
      <c r="AK2">
        <v>0</v>
      </c>
      <c r="AL2" t="s">
        <v>88</v>
      </c>
      <c r="AM2" t="s">
        <v>89</v>
      </c>
      <c r="AN2" t="s">
        <v>90</v>
      </c>
      <c r="AO2" t="s">
        <v>91</v>
      </c>
      <c r="AP2" t="s">
        <v>92</v>
      </c>
      <c r="AQ2" t="s">
        <v>74</v>
      </c>
      <c r="AR2" t="s">
        <v>93</v>
      </c>
      <c r="AS2" t="s">
        <v>94</v>
      </c>
      <c r="AT2" t="s">
        <v>95</v>
      </c>
      <c r="AU2">
        <v>2008</v>
      </c>
      <c r="AV2">
        <v>43</v>
      </c>
      <c r="AW2">
        <v>7</v>
      </c>
      <c r="AX2" t="s">
        <v>74</v>
      </c>
      <c r="AY2" t="s">
        <v>96</v>
      </c>
      <c r="AZ2" t="s">
        <v>74</v>
      </c>
      <c r="BA2" t="s">
        <v>74</v>
      </c>
      <c r="BB2" t="s">
        <v>97</v>
      </c>
      <c r="BC2" t="s">
        <v>97</v>
      </c>
      <c r="BD2" t="s">
        <v>74</v>
      </c>
      <c r="BE2" t="s">
        <v>74</v>
      </c>
      <c r="BF2" t="s">
        <v>74</v>
      </c>
      <c r="BG2" t="s">
        <v>74</v>
      </c>
      <c r="BH2" t="s">
        <v>74</v>
      </c>
      <c r="BI2">
        <v>1</v>
      </c>
      <c r="BJ2" t="s">
        <v>98</v>
      </c>
      <c r="BK2" t="s">
        <v>99</v>
      </c>
      <c r="BL2" t="s">
        <v>98</v>
      </c>
      <c r="BM2" t="s">
        <v>100</v>
      </c>
      <c r="BN2" t="s">
        <v>74</v>
      </c>
      <c r="BO2" t="s">
        <v>74</v>
      </c>
      <c r="BP2" t="s">
        <v>74</v>
      </c>
      <c r="BQ2" t="s">
        <v>74</v>
      </c>
      <c r="BR2" t="s">
        <v>101</v>
      </c>
      <c r="BS2" t="s">
        <v>102</v>
      </c>
      <c r="BT2" t="str">
        <f>HYPERLINK("https%3A%2F%2Fwww.webofscience.com%2Fwos%2Fwoscc%2Ffull-record%2FWOS:000257683100336","View Full Record in Web of Science")</f>
        <v>View Full Record in Web of Science</v>
      </c>
    </row>
    <row r="3" spans="1:72" x14ac:dyDescent="0.15">
      <c r="A3" t="s">
        <v>72</v>
      </c>
      <c r="B3" t="s">
        <v>103</v>
      </c>
      <c r="C3" t="s">
        <v>74</v>
      </c>
      <c r="D3" t="s">
        <v>74</v>
      </c>
      <c r="E3" t="s">
        <v>74</v>
      </c>
      <c r="F3" t="s">
        <v>104</v>
      </c>
      <c r="G3" t="s">
        <v>74</v>
      </c>
      <c r="H3" t="s">
        <v>74</v>
      </c>
      <c r="I3" t="s">
        <v>105</v>
      </c>
      <c r="J3" t="s">
        <v>77</v>
      </c>
      <c r="K3" t="s">
        <v>74</v>
      </c>
      <c r="L3" t="s">
        <v>74</v>
      </c>
      <c r="M3" t="s">
        <v>78</v>
      </c>
      <c r="N3" t="s">
        <v>52</v>
      </c>
      <c r="O3" t="s">
        <v>79</v>
      </c>
      <c r="P3" t="s">
        <v>80</v>
      </c>
      <c r="Q3" t="s">
        <v>81</v>
      </c>
      <c r="R3" t="s">
        <v>74</v>
      </c>
      <c r="S3" t="s">
        <v>82</v>
      </c>
      <c r="T3" t="s">
        <v>74</v>
      </c>
      <c r="U3" t="s">
        <v>106</v>
      </c>
      <c r="V3" t="s">
        <v>74</v>
      </c>
      <c r="W3" t="s">
        <v>107</v>
      </c>
      <c r="X3" t="s">
        <v>108</v>
      </c>
      <c r="Y3" t="s">
        <v>74</v>
      </c>
      <c r="Z3" t="s">
        <v>85</v>
      </c>
      <c r="AA3" t="s">
        <v>74</v>
      </c>
      <c r="AB3" t="s">
        <v>74</v>
      </c>
      <c r="AC3" t="s">
        <v>74</v>
      </c>
      <c r="AD3" t="s">
        <v>74</v>
      </c>
      <c r="AE3" t="s">
        <v>74</v>
      </c>
      <c r="AF3" t="s">
        <v>74</v>
      </c>
      <c r="AG3">
        <v>6</v>
      </c>
      <c r="AH3">
        <v>1</v>
      </c>
      <c r="AI3">
        <v>1</v>
      </c>
      <c r="AJ3">
        <v>0</v>
      </c>
      <c r="AK3">
        <v>1</v>
      </c>
      <c r="AL3" t="s">
        <v>109</v>
      </c>
      <c r="AM3" t="s">
        <v>110</v>
      </c>
      <c r="AN3" t="s">
        <v>111</v>
      </c>
      <c r="AO3" t="s">
        <v>91</v>
      </c>
      <c r="AP3" t="s">
        <v>74</v>
      </c>
      <c r="AQ3" t="s">
        <v>74</v>
      </c>
      <c r="AR3" t="s">
        <v>93</v>
      </c>
      <c r="AS3" t="s">
        <v>94</v>
      </c>
      <c r="AT3" t="s">
        <v>95</v>
      </c>
      <c r="AU3">
        <v>2008</v>
      </c>
      <c r="AV3">
        <v>43</v>
      </c>
      <c r="AW3">
        <v>7</v>
      </c>
      <c r="AX3" t="s">
        <v>74</v>
      </c>
      <c r="AY3" t="s">
        <v>96</v>
      </c>
      <c r="AZ3" t="s">
        <v>74</v>
      </c>
      <c r="BA3" t="s">
        <v>74</v>
      </c>
      <c r="BB3" t="s">
        <v>112</v>
      </c>
      <c r="BC3" t="s">
        <v>112</v>
      </c>
      <c r="BD3" t="s">
        <v>74</v>
      </c>
      <c r="BE3" t="s">
        <v>74</v>
      </c>
      <c r="BF3" t="s">
        <v>74</v>
      </c>
      <c r="BG3" t="s">
        <v>74</v>
      </c>
      <c r="BH3" t="s">
        <v>74</v>
      </c>
      <c r="BI3">
        <v>1</v>
      </c>
      <c r="BJ3" t="s">
        <v>98</v>
      </c>
      <c r="BK3" t="s">
        <v>113</v>
      </c>
      <c r="BL3" t="s">
        <v>98</v>
      </c>
      <c r="BM3" t="s">
        <v>100</v>
      </c>
      <c r="BN3" t="s">
        <v>74</v>
      </c>
      <c r="BO3" t="s">
        <v>74</v>
      </c>
      <c r="BP3" t="s">
        <v>74</v>
      </c>
      <c r="BQ3" t="s">
        <v>74</v>
      </c>
      <c r="BR3" t="s">
        <v>101</v>
      </c>
      <c r="BS3" t="s">
        <v>114</v>
      </c>
      <c r="BT3" t="str">
        <f>HYPERLINK("https%3A%2F%2Fwww.webofscience.com%2Fwos%2Fwoscc%2Ffull-record%2FWOS:000257683100031","View Full Record in Web of Science")</f>
        <v>View Full Record in Web of Science</v>
      </c>
    </row>
    <row r="4" spans="1:72" x14ac:dyDescent="0.15">
      <c r="A4" t="s">
        <v>72</v>
      </c>
      <c r="B4" t="s">
        <v>115</v>
      </c>
      <c r="C4" t="s">
        <v>74</v>
      </c>
      <c r="D4" t="s">
        <v>74</v>
      </c>
      <c r="E4" t="s">
        <v>74</v>
      </c>
      <c r="F4" t="s">
        <v>116</v>
      </c>
      <c r="G4" t="s">
        <v>74</v>
      </c>
      <c r="H4" t="s">
        <v>74</v>
      </c>
      <c r="I4" t="s">
        <v>117</v>
      </c>
      <c r="J4" t="s">
        <v>77</v>
      </c>
      <c r="K4" t="s">
        <v>74</v>
      </c>
      <c r="L4" t="s">
        <v>74</v>
      </c>
      <c r="M4" t="s">
        <v>78</v>
      </c>
      <c r="N4" t="s">
        <v>52</v>
      </c>
      <c r="O4" t="s">
        <v>79</v>
      </c>
      <c r="P4" t="s">
        <v>80</v>
      </c>
      <c r="Q4" t="s">
        <v>81</v>
      </c>
      <c r="R4" t="s">
        <v>74</v>
      </c>
      <c r="S4" t="s">
        <v>82</v>
      </c>
      <c r="T4" t="s">
        <v>74</v>
      </c>
      <c r="U4" t="s">
        <v>74</v>
      </c>
      <c r="V4" t="s">
        <v>74</v>
      </c>
      <c r="W4" t="s">
        <v>118</v>
      </c>
      <c r="X4" t="s">
        <v>119</v>
      </c>
      <c r="Y4" t="s">
        <v>74</v>
      </c>
      <c r="Z4" t="s">
        <v>120</v>
      </c>
      <c r="AA4" t="s">
        <v>74</v>
      </c>
      <c r="AB4" t="s">
        <v>74</v>
      </c>
      <c r="AC4" t="s">
        <v>74</v>
      </c>
      <c r="AD4" t="s">
        <v>74</v>
      </c>
      <c r="AE4" t="s">
        <v>74</v>
      </c>
      <c r="AF4" t="s">
        <v>74</v>
      </c>
      <c r="AG4">
        <v>5</v>
      </c>
      <c r="AH4">
        <v>4</v>
      </c>
      <c r="AI4">
        <v>4</v>
      </c>
      <c r="AJ4">
        <v>0</v>
      </c>
      <c r="AK4">
        <v>1</v>
      </c>
      <c r="AL4" t="s">
        <v>88</v>
      </c>
      <c r="AM4" t="s">
        <v>89</v>
      </c>
      <c r="AN4" t="s">
        <v>90</v>
      </c>
      <c r="AO4" t="s">
        <v>91</v>
      </c>
      <c r="AP4" t="s">
        <v>92</v>
      </c>
      <c r="AQ4" t="s">
        <v>74</v>
      </c>
      <c r="AR4" t="s">
        <v>93</v>
      </c>
      <c r="AS4" t="s">
        <v>94</v>
      </c>
      <c r="AT4" t="s">
        <v>95</v>
      </c>
      <c r="AU4">
        <v>2008</v>
      </c>
      <c r="AV4">
        <v>43</v>
      </c>
      <c r="AW4">
        <v>7</v>
      </c>
      <c r="AX4" t="s">
        <v>74</v>
      </c>
      <c r="AY4" t="s">
        <v>96</v>
      </c>
      <c r="AZ4" t="s">
        <v>74</v>
      </c>
      <c r="BA4" t="s">
        <v>74</v>
      </c>
      <c r="BB4" t="s">
        <v>112</v>
      </c>
      <c r="BC4" t="s">
        <v>112</v>
      </c>
      <c r="BD4" t="s">
        <v>74</v>
      </c>
      <c r="BE4" t="s">
        <v>74</v>
      </c>
      <c r="BF4" t="s">
        <v>74</v>
      </c>
      <c r="BG4" t="s">
        <v>74</v>
      </c>
      <c r="BH4" t="s">
        <v>74</v>
      </c>
      <c r="BI4">
        <v>1</v>
      </c>
      <c r="BJ4" t="s">
        <v>98</v>
      </c>
      <c r="BK4" t="s">
        <v>99</v>
      </c>
      <c r="BL4" t="s">
        <v>98</v>
      </c>
      <c r="BM4" t="s">
        <v>100</v>
      </c>
      <c r="BN4" t="s">
        <v>74</v>
      </c>
      <c r="BO4" t="s">
        <v>74</v>
      </c>
      <c r="BP4" t="s">
        <v>74</v>
      </c>
      <c r="BQ4" t="s">
        <v>74</v>
      </c>
      <c r="BR4" t="s">
        <v>101</v>
      </c>
      <c r="BS4" t="s">
        <v>121</v>
      </c>
      <c r="BT4" t="str">
        <f>HYPERLINK("https%3A%2F%2Fwww.webofscience.com%2Fwos%2Fwoscc%2Ffull-record%2FWOS:000257683100032","View Full Record in Web of Science")</f>
        <v>View Full Record in Web of Science</v>
      </c>
    </row>
    <row r="5" spans="1:72" x14ac:dyDescent="0.15">
      <c r="A5" t="s">
        <v>72</v>
      </c>
      <c r="B5" t="s">
        <v>122</v>
      </c>
      <c r="C5" t="s">
        <v>74</v>
      </c>
      <c r="D5" t="s">
        <v>74</v>
      </c>
      <c r="E5" t="s">
        <v>74</v>
      </c>
      <c r="F5" t="s">
        <v>123</v>
      </c>
      <c r="G5" t="s">
        <v>74</v>
      </c>
      <c r="H5" t="s">
        <v>74</v>
      </c>
      <c r="I5" t="s">
        <v>124</v>
      </c>
      <c r="J5" t="s">
        <v>77</v>
      </c>
      <c r="K5" t="s">
        <v>74</v>
      </c>
      <c r="L5" t="s">
        <v>74</v>
      </c>
      <c r="M5" t="s">
        <v>78</v>
      </c>
      <c r="N5" t="s">
        <v>52</v>
      </c>
      <c r="O5" t="s">
        <v>79</v>
      </c>
      <c r="P5" t="s">
        <v>80</v>
      </c>
      <c r="Q5" t="s">
        <v>81</v>
      </c>
      <c r="R5" t="s">
        <v>74</v>
      </c>
      <c r="S5" t="s">
        <v>82</v>
      </c>
      <c r="T5" t="s">
        <v>74</v>
      </c>
      <c r="U5" t="s">
        <v>125</v>
      </c>
      <c r="V5" t="s">
        <v>74</v>
      </c>
      <c r="W5" t="s">
        <v>126</v>
      </c>
      <c r="X5" t="s">
        <v>127</v>
      </c>
      <c r="Y5" t="s">
        <v>74</v>
      </c>
      <c r="Z5" t="s">
        <v>128</v>
      </c>
      <c r="AA5" t="s">
        <v>129</v>
      </c>
      <c r="AB5" t="s">
        <v>74</v>
      </c>
      <c r="AC5" t="s">
        <v>74</v>
      </c>
      <c r="AD5" t="s">
        <v>74</v>
      </c>
      <c r="AE5" t="s">
        <v>74</v>
      </c>
      <c r="AF5" t="s">
        <v>74</v>
      </c>
      <c r="AG5">
        <v>6</v>
      </c>
      <c r="AH5">
        <v>2</v>
      </c>
      <c r="AI5">
        <v>2</v>
      </c>
      <c r="AJ5">
        <v>1</v>
      </c>
      <c r="AK5">
        <v>2</v>
      </c>
      <c r="AL5" t="s">
        <v>109</v>
      </c>
      <c r="AM5" t="s">
        <v>110</v>
      </c>
      <c r="AN5" t="s">
        <v>111</v>
      </c>
      <c r="AO5" t="s">
        <v>91</v>
      </c>
      <c r="AP5" t="s">
        <v>74</v>
      </c>
      <c r="AQ5" t="s">
        <v>74</v>
      </c>
      <c r="AR5" t="s">
        <v>93</v>
      </c>
      <c r="AS5" t="s">
        <v>94</v>
      </c>
      <c r="AT5" t="s">
        <v>95</v>
      </c>
      <c r="AU5">
        <v>2008</v>
      </c>
      <c r="AV5">
        <v>43</v>
      </c>
      <c r="AW5">
        <v>7</v>
      </c>
      <c r="AX5" t="s">
        <v>74</v>
      </c>
      <c r="AY5" t="s">
        <v>96</v>
      </c>
      <c r="AZ5" t="s">
        <v>74</v>
      </c>
      <c r="BA5" t="s">
        <v>74</v>
      </c>
      <c r="BB5" t="s">
        <v>130</v>
      </c>
      <c r="BC5" t="s">
        <v>130</v>
      </c>
      <c r="BD5" t="s">
        <v>74</v>
      </c>
      <c r="BE5" t="s">
        <v>74</v>
      </c>
      <c r="BF5" t="s">
        <v>74</v>
      </c>
      <c r="BG5" t="s">
        <v>74</v>
      </c>
      <c r="BH5" t="s">
        <v>74</v>
      </c>
      <c r="BI5">
        <v>1</v>
      </c>
      <c r="BJ5" t="s">
        <v>98</v>
      </c>
      <c r="BK5" t="s">
        <v>113</v>
      </c>
      <c r="BL5" t="s">
        <v>98</v>
      </c>
      <c r="BM5" t="s">
        <v>100</v>
      </c>
      <c r="BN5" t="s">
        <v>74</v>
      </c>
      <c r="BO5" t="s">
        <v>74</v>
      </c>
      <c r="BP5" t="s">
        <v>74</v>
      </c>
      <c r="BQ5" t="s">
        <v>74</v>
      </c>
      <c r="BR5" t="s">
        <v>101</v>
      </c>
      <c r="BS5" t="s">
        <v>131</v>
      </c>
      <c r="BT5" t="str">
        <f>HYPERLINK("https%3A%2F%2Fwww.webofscience.com%2Fwos%2Fwoscc%2Ffull-record%2FWOS:000257683100033","View Full Record in Web of Science")</f>
        <v>View Full Record in Web of Science</v>
      </c>
    </row>
    <row r="6" spans="1:72" x14ac:dyDescent="0.15">
      <c r="A6" t="s">
        <v>72</v>
      </c>
      <c r="B6" t="s">
        <v>132</v>
      </c>
      <c r="C6" t="s">
        <v>74</v>
      </c>
      <c r="D6" t="s">
        <v>74</v>
      </c>
      <c r="E6" t="s">
        <v>74</v>
      </c>
      <c r="F6" t="s">
        <v>133</v>
      </c>
      <c r="G6" t="s">
        <v>74</v>
      </c>
      <c r="H6" t="s">
        <v>74</v>
      </c>
      <c r="I6" t="s">
        <v>134</v>
      </c>
      <c r="J6" t="s">
        <v>77</v>
      </c>
      <c r="K6" t="s">
        <v>74</v>
      </c>
      <c r="L6" t="s">
        <v>74</v>
      </c>
      <c r="M6" t="s">
        <v>78</v>
      </c>
      <c r="N6" t="s">
        <v>52</v>
      </c>
      <c r="O6" t="s">
        <v>79</v>
      </c>
      <c r="P6" t="s">
        <v>80</v>
      </c>
      <c r="Q6" t="s">
        <v>81</v>
      </c>
      <c r="R6" t="s">
        <v>74</v>
      </c>
      <c r="S6" t="s">
        <v>82</v>
      </c>
      <c r="T6" t="s">
        <v>74</v>
      </c>
      <c r="U6" t="s">
        <v>135</v>
      </c>
      <c r="V6" t="s">
        <v>74</v>
      </c>
      <c r="W6" t="s">
        <v>136</v>
      </c>
      <c r="X6" t="s">
        <v>137</v>
      </c>
      <c r="Y6" t="s">
        <v>74</v>
      </c>
      <c r="Z6" t="s">
        <v>138</v>
      </c>
      <c r="AA6" t="s">
        <v>74</v>
      </c>
      <c r="AB6" t="s">
        <v>74</v>
      </c>
      <c r="AC6" t="s">
        <v>74</v>
      </c>
      <c r="AD6" t="s">
        <v>74</v>
      </c>
      <c r="AE6" t="s">
        <v>74</v>
      </c>
      <c r="AF6" t="s">
        <v>74</v>
      </c>
      <c r="AG6">
        <v>6</v>
      </c>
      <c r="AH6">
        <v>4</v>
      </c>
      <c r="AI6">
        <v>4</v>
      </c>
      <c r="AJ6">
        <v>0</v>
      </c>
      <c r="AK6">
        <v>1</v>
      </c>
      <c r="AL6" t="s">
        <v>109</v>
      </c>
      <c r="AM6" t="s">
        <v>110</v>
      </c>
      <c r="AN6" t="s">
        <v>111</v>
      </c>
      <c r="AO6" t="s">
        <v>91</v>
      </c>
      <c r="AP6" t="s">
        <v>74</v>
      </c>
      <c r="AQ6" t="s">
        <v>74</v>
      </c>
      <c r="AR6" t="s">
        <v>93</v>
      </c>
      <c r="AS6" t="s">
        <v>94</v>
      </c>
      <c r="AT6" t="s">
        <v>95</v>
      </c>
      <c r="AU6">
        <v>2008</v>
      </c>
      <c r="AV6">
        <v>43</v>
      </c>
      <c r="AW6">
        <v>7</v>
      </c>
      <c r="AX6" t="s">
        <v>74</v>
      </c>
      <c r="AY6" t="s">
        <v>96</v>
      </c>
      <c r="AZ6" t="s">
        <v>74</v>
      </c>
      <c r="BA6" t="s">
        <v>74</v>
      </c>
      <c r="BB6" t="s">
        <v>130</v>
      </c>
      <c r="BC6" t="s">
        <v>130</v>
      </c>
      <c r="BD6" t="s">
        <v>74</v>
      </c>
      <c r="BE6" t="s">
        <v>74</v>
      </c>
      <c r="BF6" t="s">
        <v>74</v>
      </c>
      <c r="BG6" t="s">
        <v>74</v>
      </c>
      <c r="BH6" t="s">
        <v>74</v>
      </c>
      <c r="BI6">
        <v>1</v>
      </c>
      <c r="BJ6" t="s">
        <v>98</v>
      </c>
      <c r="BK6" t="s">
        <v>113</v>
      </c>
      <c r="BL6" t="s">
        <v>98</v>
      </c>
      <c r="BM6" t="s">
        <v>100</v>
      </c>
      <c r="BN6" t="s">
        <v>74</v>
      </c>
      <c r="BO6" t="s">
        <v>74</v>
      </c>
      <c r="BP6" t="s">
        <v>74</v>
      </c>
      <c r="BQ6" t="s">
        <v>74</v>
      </c>
      <c r="BR6" t="s">
        <v>101</v>
      </c>
      <c r="BS6" t="s">
        <v>139</v>
      </c>
      <c r="BT6" t="str">
        <f>HYPERLINK("https%3A%2F%2Fwww.webofscience.com%2Fwos%2Fwoscc%2Ffull-record%2FWOS:000257683100034","View Full Record in Web of Science")</f>
        <v>View Full Record in Web of Science</v>
      </c>
    </row>
    <row r="7" spans="1:72" x14ac:dyDescent="0.15">
      <c r="A7" t="s">
        <v>72</v>
      </c>
      <c r="B7" t="s">
        <v>140</v>
      </c>
      <c r="C7" t="s">
        <v>74</v>
      </c>
      <c r="D7" t="s">
        <v>74</v>
      </c>
      <c r="E7" t="s">
        <v>74</v>
      </c>
      <c r="F7" t="s">
        <v>141</v>
      </c>
      <c r="G7" t="s">
        <v>74</v>
      </c>
      <c r="H7" t="s">
        <v>74</v>
      </c>
      <c r="I7" t="s">
        <v>142</v>
      </c>
      <c r="J7" t="s">
        <v>77</v>
      </c>
      <c r="K7" t="s">
        <v>74</v>
      </c>
      <c r="L7" t="s">
        <v>74</v>
      </c>
      <c r="M7" t="s">
        <v>78</v>
      </c>
      <c r="N7" t="s">
        <v>52</v>
      </c>
      <c r="O7" t="s">
        <v>79</v>
      </c>
      <c r="P7" t="s">
        <v>80</v>
      </c>
      <c r="Q7" t="s">
        <v>81</v>
      </c>
      <c r="R7" t="s">
        <v>74</v>
      </c>
      <c r="S7" t="s">
        <v>82</v>
      </c>
      <c r="T7" t="s">
        <v>74</v>
      </c>
      <c r="U7" t="s">
        <v>143</v>
      </c>
      <c r="V7" t="s">
        <v>74</v>
      </c>
      <c r="W7" t="s">
        <v>144</v>
      </c>
      <c r="X7" t="s">
        <v>145</v>
      </c>
      <c r="Y7" t="s">
        <v>74</v>
      </c>
      <c r="Z7" t="s">
        <v>146</v>
      </c>
      <c r="AA7" t="s">
        <v>147</v>
      </c>
      <c r="AB7" t="s">
        <v>148</v>
      </c>
      <c r="AC7" t="s">
        <v>74</v>
      </c>
      <c r="AD7" t="s">
        <v>74</v>
      </c>
      <c r="AE7" t="s">
        <v>74</v>
      </c>
      <c r="AF7" t="s">
        <v>74</v>
      </c>
      <c r="AG7">
        <v>4</v>
      </c>
      <c r="AH7">
        <v>2</v>
      </c>
      <c r="AI7">
        <v>2</v>
      </c>
      <c r="AJ7">
        <v>0</v>
      </c>
      <c r="AK7">
        <v>0</v>
      </c>
      <c r="AL7" t="s">
        <v>149</v>
      </c>
      <c r="AM7" t="s">
        <v>150</v>
      </c>
      <c r="AN7" t="s">
        <v>151</v>
      </c>
      <c r="AO7" t="s">
        <v>91</v>
      </c>
      <c r="AP7" t="s">
        <v>74</v>
      </c>
      <c r="AQ7" t="s">
        <v>74</v>
      </c>
      <c r="AR7" t="s">
        <v>93</v>
      </c>
      <c r="AS7" t="s">
        <v>94</v>
      </c>
      <c r="AT7" t="s">
        <v>95</v>
      </c>
      <c r="AU7">
        <v>2008</v>
      </c>
      <c r="AV7">
        <v>43</v>
      </c>
      <c r="AW7">
        <v>7</v>
      </c>
      <c r="AX7" t="s">
        <v>74</v>
      </c>
      <c r="AY7" t="s">
        <v>96</v>
      </c>
      <c r="AZ7" t="s">
        <v>74</v>
      </c>
      <c r="BA7" t="s">
        <v>74</v>
      </c>
      <c r="BB7" t="s">
        <v>152</v>
      </c>
      <c r="BC7" t="s">
        <v>152</v>
      </c>
      <c r="BD7" t="s">
        <v>74</v>
      </c>
      <c r="BE7" t="s">
        <v>74</v>
      </c>
      <c r="BF7" t="s">
        <v>74</v>
      </c>
      <c r="BG7" t="s">
        <v>74</v>
      </c>
      <c r="BH7" t="s">
        <v>74</v>
      </c>
      <c r="BI7">
        <v>1</v>
      </c>
      <c r="BJ7" t="s">
        <v>98</v>
      </c>
      <c r="BK7" t="s">
        <v>99</v>
      </c>
      <c r="BL7" t="s">
        <v>98</v>
      </c>
      <c r="BM7" t="s">
        <v>100</v>
      </c>
      <c r="BN7" t="s">
        <v>74</v>
      </c>
      <c r="BO7" t="s">
        <v>74</v>
      </c>
      <c r="BP7" t="s">
        <v>74</v>
      </c>
      <c r="BQ7" t="s">
        <v>74</v>
      </c>
      <c r="BR7" t="s">
        <v>101</v>
      </c>
      <c r="BS7" t="s">
        <v>153</v>
      </c>
      <c r="BT7" t="str">
        <f>HYPERLINK("https%3A%2F%2Fwww.webofscience.com%2Fwos%2Fwoscc%2Ffull-record%2FWOS:000257683100035","View Full Record in Web of Science")</f>
        <v>View Full Record in Web of Science</v>
      </c>
    </row>
    <row r="8" spans="1:72" x14ac:dyDescent="0.15">
      <c r="A8" t="s">
        <v>72</v>
      </c>
      <c r="B8" t="s">
        <v>154</v>
      </c>
      <c r="C8" t="s">
        <v>74</v>
      </c>
      <c r="D8" t="s">
        <v>74</v>
      </c>
      <c r="E8" t="s">
        <v>74</v>
      </c>
      <c r="F8" t="s">
        <v>155</v>
      </c>
      <c r="G8" t="s">
        <v>74</v>
      </c>
      <c r="H8" t="s">
        <v>74</v>
      </c>
      <c r="I8" t="s">
        <v>156</v>
      </c>
      <c r="J8" t="s">
        <v>77</v>
      </c>
      <c r="K8" t="s">
        <v>74</v>
      </c>
      <c r="L8" t="s">
        <v>74</v>
      </c>
      <c r="M8" t="s">
        <v>78</v>
      </c>
      <c r="N8" t="s">
        <v>52</v>
      </c>
      <c r="O8" t="s">
        <v>79</v>
      </c>
      <c r="P8" t="s">
        <v>80</v>
      </c>
      <c r="Q8" t="s">
        <v>81</v>
      </c>
      <c r="R8" t="s">
        <v>74</v>
      </c>
      <c r="S8" t="s">
        <v>82</v>
      </c>
      <c r="T8" t="s">
        <v>74</v>
      </c>
      <c r="U8" t="s">
        <v>157</v>
      </c>
      <c r="V8" t="s">
        <v>74</v>
      </c>
      <c r="W8" t="s">
        <v>158</v>
      </c>
      <c r="X8" t="s">
        <v>159</v>
      </c>
      <c r="Y8" t="s">
        <v>74</v>
      </c>
      <c r="Z8" t="s">
        <v>160</v>
      </c>
      <c r="AA8" t="s">
        <v>74</v>
      </c>
      <c r="AB8" t="s">
        <v>74</v>
      </c>
      <c r="AC8" t="s">
        <v>74</v>
      </c>
      <c r="AD8" t="s">
        <v>74</v>
      </c>
      <c r="AE8" t="s">
        <v>74</v>
      </c>
      <c r="AF8" t="s">
        <v>74</v>
      </c>
      <c r="AG8">
        <v>3</v>
      </c>
      <c r="AH8">
        <v>2</v>
      </c>
      <c r="AI8">
        <v>2</v>
      </c>
      <c r="AJ8">
        <v>0</v>
      </c>
      <c r="AK8">
        <v>1</v>
      </c>
      <c r="AL8" t="s">
        <v>88</v>
      </c>
      <c r="AM8" t="s">
        <v>89</v>
      </c>
      <c r="AN8" t="s">
        <v>90</v>
      </c>
      <c r="AO8" t="s">
        <v>91</v>
      </c>
      <c r="AP8" t="s">
        <v>92</v>
      </c>
      <c r="AQ8" t="s">
        <v>74</v>
      </c>
      <c r="AR8" t="s">
        <v>93</v>
      </c>
      <c r="AS8" t="s">
        <v>94</v>
      </c>
      <c r="AT8" t="s">
        <v>95</v>
      </c>
      <c r="AU8">
        <v>2008</v>
      </c>
      <c r="AV8">
        <v>43</v>
      </c>
      <c r="AW8">
        <v>7</v>
      </c>
      <c r="AX8" t="s">
        <v>74</v>
      </c>
      <c r="AY8" t="s">
        <v>96</v>
      </c>
      <c r="AZ8" t="s">
        <v>74</v>
      </c>
      <c r="BA8" t="s">
        <v>74</v>
      </c>
      <c r="BB8" t="s">
        <v>152</v>
      </c>
      <c r="BC8" t="s">
        <v>152</v>
      </c>
      <c r="BD8" t="s">
        <v>74</v>
      </c>
      <c r="BE8" t="s">
        <v>74</v>
      </c>
      <c r="BF8" t="s">
        <v>74</v>
      </c>
      <c r="BG8" t="s">
        <v>74</v>
      </c>
      <c r="BH8" t="s">
        <v>74</v>
      </c>
      <c r="BI8">
        <v>1</v>
      </c>
      <c r="BJ8" t="s">
        <v>98</v>
      </c>
      <c r="BK8" t="s">
        <v>99</v>
      </c>
      <c r="BL8" t="s">
        <v>98</v>
      </c>
      <c r="BM8" t="s">
        <v>100</v>
      </c>
      <c r="BN8" t="s">
        <v>74</v>
      </c>
      <c r="BO8" t="s">
        <v>74</v>
      </c>
      <c r="BP8" t="s">
        <v>74</v>
      </c>
      <c r="BQ8" t="s">
        <v>74</v>
      </c>
      <c r="BR8" t="s">
        <v>101</v>
      </c>
      <c r="BS8" t="s">
        <v>161</v>
      </c>
      <c r="BT8" t="str">
        <f>HYPERLINK("https%3A%2F%2Fwww.webofscience.com%2Fwos%2Fwoscc%2Ffull-record%2FWOS:000257683100036","View Full Record in Web of Science")</f>
        <v>View Full Record in Web of Science</v>
      </c>
    </row>
    <row r="9" spans="1:72" x14ac:dyDescent="0.15">
      <c r="A9" t="s">
        <v>72</v>
      </c>
      <c r="B9" t="s">
        <v>162</v>
      </c>
      <c r="C9" t="s">
        <v>74</v>
      </c>
      <c r="D9" t="s">
        <v>74</v>
      </c>
      <c r="E9" t="s">
        <v>74</v>
      </c>
      <c r="F9" t="s">
        <v>163</v>
      </c>
      <c r="G9" t="s">
        <v>74</v>
      </c>
      <c r="H9" t="s">
        <v>74</v>
      </c>
      <c r="I9" t="s">
        <v>164</v>
      </c>
      <c r="J9" t="s">
        <v>77</v>
      </c>
      <c r="K9" t="s">
        <v>74</v>
      </c>
      <c r="L9" t="s">
        <v>74</v>
      </c>
      <c r="M9" t="s">
        <v>78</v>
      </c>
      <c r="N9" t="s">
        <v>52</v>
      </c>
      <c r="O9" t="s">
        <v>79</v>
      </c>
      <c r="P9" t="s">
        <v>80</v>
      </c>
      <c r="Q9" t="s">
        <v>81</v>
      </c>
      <c r="R9" t="s">
        <v>74</v>
      </c>
      <c r="S9" t="s">
        <v>82</v>
      </c>
      <c r="T9" t="s">
        <v>74</v>
      </c>
      <c r="U9" t="s">
        <v>74</v>
      </c>
      <c r="V9" t="s">
        <v>74</v>
      </c>
      <c r="W9" t="s">
        <v>165</v>
      </c>
      <c r="X9" t="s">
        <v>166</v>
      </c>
      <c r="Y9" t="s">
        <v>74</v>
      </c>
      <c r="Z9" t="s">
        <v>167</v>
      </c>
      <c r="AA9" t="s">
        <v>168</v>
      </c>
      <c r="AB9" t="s">
        <v>169</v>
      </c>
      <c r="AC9" t="s">
        <v>170</v>
      </c>
      <c r="AD9" t="s">
        <v>171</v>
      </c>
      <c r="AE9" t="s">
        <v>74</v>
      </c>
      <c r="AF9" t="s">
        <v>74</v>
      </c>
      <c r="AG9">
        <v>12</v>
      </c>
      <c r="AH9">
        <v>1</v>
      </c>
      <c r="AI9">
        <v>1</v>
      </c>
      <c r="AJ9">
        <v>0</v>
      </c>
      <c r="AK9">
        <v>1</v>
      </c>
      <c r="AL9" t="s">
        <v>88</v>
      </c>
      <c r="AM9" t="s">
        <v>89</v>
      </c>
      <c r="AN9" t="s">
        <v>90</v>
      </c>
      <c r="AO9" t="s">
        <v>91</v>
      </c>
      <c r="AP9" t="s">
        <v>92</v>
      </c>
      <c r="AQ9" t="s">
        <v>74</v>
      </c>
      <c r="AR9" t="s">
        <v>93</v>
      </c>
      <c r="AS9" t="s">
        <v>94</v>
      </c>
      <c r="AT9" t="s">
        <v>95</v>
      </c>
      <c r="AU9">
        <v>2008</v>
      </c>
      <c r="AV9">
        <v>43</v>
      </c>
      <c r="AW9">
        <v>7</v>
      </c>
      <c r="AX9" t="s">
        <v>74</v>
      </c>
      <c r="AY9" t="s">
        <v>96</v>
      </c>
      <c r="AZ9" t="s">
        <v>74</v>
      </c>
      <c r="BA9" t="s">
        <v>74</v>
      </c>
      <c r="BB9" t="s">
        <v>172</v>
      </c>
      <c r="BC9" t="s">
        <v>172</v>
      </c>
      <c r="BD9" t="s">
        <v>74</v>
      </c>
      <c r="BE9" t="s">
        <v>74</v>
      </c>
      <c r="BF9" t="s">
        <v>74</v>
      </c>
      <c r="BG9" t="s">
        <v>74</v>
      </c>
      <c r="BH9" t="s">
        <v>74</v>
      </c>
      <c r="BI9">
        <v>1</v>
      </c>
      <c r="BJ9" t="s">
        <v>98</v>
      </c>
      <c r="BK9" t="s">
        <v>99</v>
      </c>
      <c r="BL9" t="s">
        <v>98</v>
      </c>
      <c r="BM9" t="s">
        <v>100</v>
      </c>
      <c r="BN9" t="s">
        <v>74</v>
      </c>
      <c r="BO9" t="s">
        <v>74</v>
      </c>
      <c r="BP9" t="s">
        <v>74</v>
      </c>
      <c r="BQ9" t="s">
        <v>74</v>
      </c>
      <c r="BR9" t="s">
        <v>101</v>
      </c>
      <c r="BS9" t="s">
        <v>173</v>
      </c>
      <c r="BT9" t="str">
        <f>HYPERLINK("https%3A%2F%2Fwww.webofscience.com%2Fwos%2Fwoscc%2Ffull-record%2FWOS:000257683100037","View Full Record in Web of Science")</f>
        <v>View Full Record in Web of Science</v>
      </c>
    </row>
    <row r="10" spans="1:72" x14ac:dyDescent="0.15">
      <c r="A10" t="s">
        <v>72</v>
      </c>
      <c r="B10" t="s">
        <v>174</v>
      </c>
      <c r="C10" t="s">
        <v>74</v>
      </c>
      <c r="D10" t="s">
        <v>74</v>
      </c>
      <c r="E10" t="s">
        <v>74</v>
      </c>
      <c r="F10" t="s">
        <v>175</v>
      </c>
      <c r="G10" t="s">
        <v>74</v>
      </c>
      <c r="H10" t="s">
        <v>74</v>
      </c>
      <c r="I10" t="s">
        <v>176</v>
      </c>
      <c r="J10" t="s">
        <v>77</v>
      </c>
      <c r="K10" t="s">
        <v>74</v>
      </c>
      <c r="L10" t="s">
        <v>74</v>
      </c>
      <c r="M10" t="s">
        <v>78</v>
      </c>
      <c r="N10" t="s">
        <v>52</v>
      </c>
      <c r="O10" t="s">
        <v>79</v>
      </c>
      <c r="P10" t="s">
        <v>80</v>
      </c>
      <c r="Q10" t="s">
        <v>81</v>
      </c>
      <c r="R10" t="s">
        <v>74</v>
      </c>
      <c r="S10" t="s">
        <v>82</v>
      </c>
      <c r="T10" t="s">
        <v>74</v>
      </c>
      <c r="U10" t="s">
        <v>74</v>
      </c>
      <c r="V10" t="s">
        <v>74</v>
      </c>
      <c r="W10" t="s">
        <v>177</v>
      </c>
      <c r="X10" t="s">
        <v>178</v>
      </c>
      <c r="Y10" t="s">
        <v>74</v>
      </c>
      <c r="Z10" t="s">
        <v>179</v>
      </c>
      <c r="AA10" t="s">
        <v>180</v>
      </c>
      <c r="AB10" t="s">
        <v>181</v>
      </c>
      <c r="AC10" t="s">
        <v>74</v>
      </c>
      <c r="AD10" t="s">
        <v>74</v>
      </c>
      <c r="AE10" t="s">
        <v>74</v>
      </c>
      <c r="AF10" t="s">
        <v>74</v>
      </c>
      <c r="AG10">
        <v>3</v>
      </c>
      <c r="AH10">
        <v>0</v>
      </c>
      <c r="AI10">
        <v>0</v>
      </c>
      <c r="AJ10">
        <v>0</v>
      </c>
      <c r="AK10">
        <v>1</v>
      </c>
      <c r="AL10" t="s">
        <v>88</v>
      </c>
      <c r="AM10" t="s">
        <v>89</v>
      </c>
      <c r="AN10" t="s">
        <v>90</v>
      </c>
      <c r="AO10" t="s">
        <v>91</v>
      </c>
      <c r="AP10" t="s">
        <v>92</v>
      </c>
      <c r="AQ10" t="s">
        <v>74</v>
      </c>
      <c r="AR10" t="s">
        <v>93</v>
      </c>
      <c r="AS10" t="s">
        <v>94</v>
      </c>
      <c r="AT10" t="s">
        <v>95</v>
      </c>
      <c r="AU10">
        <v>2008</v>
      </c>
      <c r="AV10">
        <v>43</v>
      </c>
      <c r="AW10">
        <v>7</v>
      </c>
      <c r="AX10" t="s">
        <v>74</v>
      </c>
      <c r="AY10" t="s">
        <v>96</v>
      </c>
      <c r="AZ10" t="s">
        <v>74</v>
      </c>
      <c r="BA10" t="s">
        <v>74</v>
      </c>
      <c r="BB10" t="s">
        <v>172</v>
      </c>
      <c r="BC10" t="s">
        <v>172</v>
      </c>
      <c r="BD10" t="s">
        <v>74</v>
      </c>
      <c r="BE10" t="s">
        <v>74</v>
      </c>
      <c r="BF10" t="s">
        <v>74</v>
      </c>
      <c r="BG10" t="s">
        <v>74</v>
      </c>
      <c r="BH10" t="s">
        <v>74</v>
      </c>
      <c r="BI10">
        <v>1</v>
      </c>
      <c r="BJ10" t="s">
        <v>98</v>
      </c>
      <c r="BK10" t="s">
        <v>99</v>
      </c>
      <c r="BL10" t="s">
        <v>98</v>
      </c>
      <c r="BM10" t="s">
        <v>100</v>
      </c>
      <c r="BN10" t="s">
        <v>74</v>
      </c>
      <c r="BO10" t="s">
        <v>74</v>
      </c>
      <c r="BP10" t="s">
        <v>74</v>
      </c>
      <c r="BQ10" t="s">
        <v>74</v>
      </c>
      <c r="BR10" t="s">
        <v>101</v>
      </c>
      <c r="BS10" t="s">
        <v>182</v>
      </c>
      <c r="BT10" t="str">
        <f>HYPERLINK("https%3A%2F%2Fwww.webofscience.com%2Fwos%2Fwoscc%2Ffull-record%2FWOS:000257683100038","View Full Record in Web of Science")</f>
        <v>View Full Record in Web of Science</v>
      </c>
    </row>
    <row r="11" spans="1:72" x14ac:dyDescent="0.15">
      <c r="A11" t="s">
        <v>72</v>
      </c>
      <c r="B11" t="s">
        <v>183</v>
      </c>
      <c r="C11" t="s">
        <v>74</v>
      </c>
      <c r="D11" t="s">
        <v>74</v>
      </c>
      <c r="E11" t="s">
        <v>74</v>
      </c>
      <c r="F11" t="s">
        <v>184</v>
      </c>
      <c r="G11" t="s">
        <v>74</v>
      </c>
      <c r="H11" t="s">
        <v>74</v>
      </c>
      <c r="I11" t="s">
        <v>185</v>
      </c>
      <c r="J11" t="s">
        <v>77</v>
      </c>
      <c r="K11" t="s">
        <v>74</v>
      </c>
      <c r="L11" t="s">
        <v>74</v>
      </c>
      <c r="M11" t="s">
        <v>78</v>
      </c>
      <c r="N11" t="s">
        <v>52</v>
      </c>
      <c r="O11" t="s">
        <v>79</v>
      </c>
      <c r="P11" t="s">
        <v>80</v>
      </c>
      <c r="Q11" t="s">
        <v>81</v>
      </c>
      <c r="R11" t="s">
        <v>74</v>
      </c>
      <c r="S11" t="s">
        <v>82</v>
      </c>
      <c r="T11" t="s">
        <v>74</v>
      </c>
      <c r="U11" t="s">
        <v>186</v>
      </c>
      <c r="V11" t="s">
        <v>74</v>
      </c>
      <c r="W11" t="s">
        <v>187</v>
      </c>
      <c r="X11" t="s">
        <v>188</v>
      </c>
      <c r="Y11" t="s">
        <v>74</v>
      </c>
      <c r="Z11" t="s">
        <v>189</v>
      </c>
      <c r="AA11" t="s">
        <v>190</v>
      </c>
      <c r="AB11" t="s">
        <v>191</v>
      </c>
      <c r="AC11" t="s">
        <v>74</v>
      </c>
      <c r="AD11" t="s">
        <v>74</v>
      </c>
      <c r="AE11" t="s">
        <v>74</v>
      </c>
      <c r="AF11" t="s">
        <v>74</v>
      </c>
      <c r="AG11">
        <v>6</v>
      </c>
      <c r="AH11">
        <v>0</v>
      </c>
      <c r="AI11">
        <v>0</v>
      </c>
      <c r="AJ11">
        <v>0</v>
      </c>
      <c r="AK11">
        <v>0</v>
      </c>
      <c r="AL11" t="s">
        <v>109</v>
      </c>
      <c r="AM11" t="s">
        <v>110</v>
      </c>
      <c r="AN11" t="s">
        <v>111</v>
      </c>
      <c r="AO11" t="s">
        <v>91</v>
      </c>
      <c r="AP11" t="s">
        <v>74</v>
      </c>
      <c r="AQ11" t="s">
        <v>74</v>
      </c>
      <c r="AR11" t="s">
        <v>93</v>
      </c>
      <c r="AS11" t="s">
        <v>94</v>
      </c>
      <c r="AT11" t="s">
        <v>95</v>
      </c>
      <c r="AU11">
        <v>2008</v>
      </c>
      <c r="AV11">
        <v>43</v>
      </c>
      <c r="AW11">
        <v>7</v>
      </c>
      <c r="AX11" t="s">
        <v>74</v>
      </c>
      <c r="AY11" t="s">
        <v>96</v>
      </c>
      <c r="AZ11" t="s">
        <v>74</v>
      </c>
      <c r="BA11" t="s">
        <v>74</v>
      </c>
      <c r="BB11" t="s">
        <v>192</v>
      </c>
      <c r="BC11" t="s">
        <v>192</v>
      </c>
      <c r="BD11" t="s">
        <v>74</v>
      </c>
      <c r="BE11" t="s">
        <v>74</v>
      </c>
      <c r="BF11" t="s">
        <v>74</v>
      </c>
      <c r="BG11" t="s">
        <v>74</v>
      </c>
      <c r="BH11" t="s">
        <v>74</v>
      </c>
      <c r="BI11">
        <v>1</v>
      </c>
      <c r="BJ11" t="s">
        <v>98</v>
      </c>
      <c r="BK11" t="s">
        <v>113</v>
      </c>
      <c r="BL11" t="s">
        <v>98</v>
      </c>
      <c r="BM11" t="s">
        <v>100</v>
      </c>
      <c r="BN11" t="s">
        <v>74</v>
      </c>
      <c r="BO11" t="s">
        <v>74</v>
      </c>
      <c r="BP11" t="s">
        <v>74</v>
      </c>
      <c r="BQ11" t="s">
        <v>74</v>
      </c>
      <c r="BR11" t="s">
        <v>101</v>
      </c>
      <c r="BS11" t="s">
        <v>193</v>
      </c>
      <c r="BT11" t="str">
        <f>HYPERLINK("https%3A%2F%2Fwww.webofscience.com%2Fwos%2Fwoscc%2Ffull-record%2FWOS:000257683100039","View Full Record in Web of Science")</f>
        <v>View Full Record in Web of Science</v>
      </c>
    </row>
    <row r="12" spans="1:72" x14ac:dyDescent="0.15">
      <c r="A12" t="s">
        <v>72</v>
      </c>
      <c r="B12" t="s">
        <v>194</v>
      </c>
      <c r="C12" t="s">
        <v>74</v>
      </c>
      <c r="D12" t="s">
        <v>74</v>
      </c>
      <c r="E12" t="s">
        <v>74</v>
      </c>
      <c r="F12" t="s">
        <v>195</v>
      </c>
      <c r="G12" t="s">
        <v>74</v>
      </c>
      <c r="H12" t="s">
        <v>74</v>
      </c>
      <c r="I12" t="s">
        <v>196</v>
      </c>
      <c r="J12" t="s">
        <v>77</v>
      </c>
      <c r="K12" t="s">
        <v>74</v>
      </c>
      <c r="L12" t="s">
        <v>74</v>
      </c>
      <c r="M12" t="s">
        <v>78</v>
      </c>
      <c r="N12" t="s">
        <v>52</v>
      </c>
      <c r="O12" t="s">
        <v>79</v>
      </c>
      <c r="P12" t="s">
        <v>80</v>
      </c>
      <c r="Q12" t="s">
        <v>81</v>
      </c>
      <c r="R12" t="s">
        <v>74</v>
      </c>
      <c r="S12" t="s">
        <v>82</v>
      </c>
      <c r="T12" t="s">
        <v>74</v>
      </c>
      <c r="U12" t="s">
        <v>197</v>
      </c>
      <c r="V12" t="s">
        <v>74</v>
      </c>
      <c r="W12" t="s">
        <v>198</v>
      </c>
      <c r="X12" t="s">
        <v>199</v>
      </c>
      <c r="Y12" t="s">
        <v>74</v>
      </c>
      <c r="Z12" t="s">
        <v>200</v>
      </c>
      <c r="AA12" t="s">
        <v>201</v>
      </c>
      <c r="AB12" t="s">
        <v>202</v>
      </c>
      <c r="AC12" t="s">
        <v>74</v>
      </c>
      <c r="AD12" t="s">
        <v>74</v>
      </c>
      <c r="AE12" t="s">
        <v>74</v>
      </c>
      <c r="AF12" t="s">
        <v>74</v>
      </c>
      <c r="AG12">
        <v>8</v>
      </c>
      <c r="AH12">
        <v>0</v>
      </c>
      <c r="AI12">
        <v>0</v>
      </c>
      <c r="AJ12">
        <v>0</v>
      </c>
      <c r="AK12">
        <v>6</v>
      </c>
      <c r="AL12" t="s">
        <v>149</v>
      </c>
      <c r="AM12" t="s">
        <v>150</v>
      </c>
      <c r="AN12" t="s">
        <v>151</v>
      </c>
      <c r="AO12" t="s">
        <v>91</v>
      </c>
      <c r="AP12" t="s">
        <v>74</v>
      </c>
      <c r="AQ12" t="s">
        <v>74</v>
      </c>
      <c r="AR12" t="s">
        <v>93</v>
      </c>
      <c r="AS12" t="s">
        <v>94</v>
      </c>
      <c r="AT12" t="s">
        <v>95</v>
      </c>
      <c r="AU12">
        <v>2008</v>
      </c>
      <c r="AV12">
        <v>43</v>
      </c>
      <c r="AW12">
        <v>7</v>
      </c>
      <c r="AX12" t="s">
        <v>74</v>
      </c>
      <c r="AY12" t="s">
        <v>96</v>
      </c>
      <c r="AZ12" t="s">
        <v>74</v>
      </c>
      <c r="BA12" t="s">
        <v>74</v>
      </c>
      <c r="BB12" t="s">
        <v>192</v>
      </c>
      <c r="BC12" t="s">
        <v>192</v>
      </c>
      <c r="BD12" t="s">
        <v>74</v>
      </c>
      <c r="BE12" t="s">
        <v>74</v>
      </c>
      <c r="BF12" t="s">
        <v>74</v>
      </c>
      <c r="BG12" t="s">
        <v>74</v>
      </c>
      <c r="BH12" t="s">
        <v>74</v>
      </c>
      <c r="BI12">
        <v>1</v>
      </c>
      <c r="BJ12" t="s">
        <v>98</v>
      </c>
      <c r="BK12" t="s">
        <v>99</v>
      </c>
      <c r="BL12" t="s">
        <v>98</v>
      </c>
      <c r="BM12" t="s">
        <v>100</v>
      </c>
      <c r="BN12" t="s">
        <v>74</v>
      </c>
      <c r="BO12" t="s">
        <v>74</v>
      </c>
      <c r="BP12" t="s">
        <v>74</v>
      </c>
      <c r="BQ12" t="s">
        <v>74</v>
      </c>
      <c r="BR12" t="s">
        <v>101</v>
      </c>
      <c r="BS12" t="s">
        <v>203</v>
      </c>
      <c r="BT12" t="str">
        <f>HYPERLINK("https%3A%2F%2Fwww.webofscience.com%2Fwos%2Fwoscc%2Ffull-record%2FWOS:000257683100040","View Full Record in Web of Science")</f>
        <v>View Full Record in Web of Science</v>
      </c>
    </row>
    <row r="13" spans="1:72" x14ac:dyDescent="0.15">
      <c r="A13" t="s">
        <v>72</v>
      </c>
      <c r="B13" t="s">
        <v>204</v>
      </c>
      <c r="C13" t="s">
        <v>74</v>
      </c>
      <c r="D13" t="s">
        <v>74</v>
      </c>
      <c r="E13" t="s">
        <v>74</v>
      </c>
      <c r="F13" t="s">
        <v>205</v>
      </c>
      <c r="G13" t="s">
        <v>74</v>
      </c>
      <c r="H13" t="s">
        <v>74</v>
      </c>
      <c r="I13" t="s">
        <v>206</v>
      </c>
      <c r="J13" t="s">
        <v>77</v>
      </c>
      <c r="K13" t="s">
        <v>74</v>
      </c>
      <c r="L13" t="s">
        <v>74</v>
      </c>
      <c r="M13" t="s">
        <v>78</v>
      </c>
      <c r="N13" t="s">
        <v>52</v>
      </c>
      <c r="O13" t="s">
        <v>79</v>
      </c>
      <c r="P13" t="s">
        <v>80</v>
      </c>
      <c r="Q13" t="s">
        <v>81</v>
      </c>
      <c r="R13" t="s">
        <v>74</v>
      </c>
      <c r="S13" t="s">
        <v>82</v>
      </c>
      <c r="T13" t="s">
        <v>74</v>
      </c>
      <c r="U13" t="s">
        <v>74</v>
      </c>
      <c r="V13" t="s">
        <v>74</v>
      </c>
      <c r="W13" t="s">
        <v>207</v>
      </c>
      <c r="X13" t="s">
        <v>208</v>
      </c>
      <c r="Y13" t="s">
        <v>74</v>
      </c>
      <c r="Z13" t="s">
        <v>209</v>
      </c>
      <c r="AA13" t="s">
        <v>210</v>
      </c>
      <c r="AB13" t="s">
        <v>74</v>
      </c>
      <c r="AC13" t="s">
        <v>74</v>
      </c>
      <c r="AD13" t="s">
        <v>74</v>
      </c>
      <c r="AE13" t="s">
        <v>74</v>
      </c>
      <c r="AF13" t="s">
        <v>74</v>
      </c>
      <c r="AG13">
        <v>7</v>
      </c>
      <c r="AH13">
        <v>6</v>
      </c>
      <c r="AI13">
        <v>6</v>
      </c>
      <c r="AJ13">
        <v>0</v>
      </c>
      <c r="AK13">
        <v>0</v>
      </c>
      <c r="AL13" t="s">
        <v>88</v>
      </c>
      <c r="AM13" t="s">
        <v>89</v>
      </c>
      <c r="AN13" t="s">
        <v>90</v>
      </c>
      <c r="AO13" t="s">
        <v>91</v>
      </c>
      <c r="AP13" t="s">
        <v>92</v>
      </c>
      <c r="AQ13" t="s">
        <v>74</v>
      </c>
      <c r="AR13" t="s">
        <v>93</v>
      </c>
      <c r="AS13" t="s">
        <v>94</v>
      </c>
      <c r="AT13" t="s">
        <v>95</v>
      </c>
      <c r="AU13">
        <v>2008</v>
      </c>
      <c r="AV13">
        <v>43</v>
      </c>
      <c r="AW13">
        <v>7</v>
      </c>
      <c r="AX13" t="s">
        <v>74</v>
      </c>
      <c r="AY13" t="s">
        <v>96</v>
      </c>
      <c r="AZ13" t="s">
        <v>74</v>
      </c>
      <c r="BA13" t="s">
        <v>74</v>
      </c>
      <c r="BB13" t="s">
        <v>211</v>
      </c>
      <c r="BC13" t="s">
        <v>211</v>
      </c>
      <c r="BD13" t="s">
        <v>74</v>
      </c>
      <c r="BE13" t="s">
        <v>74</v>
      </c>
      <c r="BF13" t="s">
        <v>74</v>
      </c>
      <c r="BG13" t="s">
        <v>74</v>
      </c>
      <c r="BH13" t="s">
        <v>74</v>
      </c>
      <c r="BI13">
        <v>1</v>
      </c>
      <c r="BJ13" t="s">
        <v>98</v>
      </c>
      <c r="BK13" t="s">
        <v>99</v>
      </c>
      <c r="BL13" t="s">
        <v>98</v>
      </c>
      <c r="BM13" t="s">
        <v>100</v>
      </c>
      <c r="BN13" t="s">
        <v>74</v>
      </c>
      <c r="BO13" t="s">
        <v>74</v>
      </c>
      <c r="BP13" t="s">
        <v>74</v>
      </c>
      <c r="BQ13" t="s">
        <v>74</v>
      </c>
      <c r="BR13" t="s">
        <v>101</v>
      </c>
      <c r="BS13" t="s">
        <v>212</v>
      </c>
      <c r="BT13" t="str">
        <f>HYPERLINK("https%3A%2F%2Fwww.webofscience.com%2Fwos%2Fwoscc%2Ffull-record%2FWOS:000257683100042","View Full Record in Web of Science")</f>
        <v>View Full Record in Web of Science</v>
      </c>
    </row>
    <row r="14" spans="1:72" x14ac:dyDescent="0.15">
      <c r="A14" t="s">
        <v>72</v>
      </c>
      <c r="B14" t="s">
        <v>213</v>
      </c>
      <c r="C14" t="s">
        <v>74</v>
      </c>
      <c r="D14" t="s">
        <v>74</v>
      </c>
      <c r="E14" t="s">
        <v>74</v>
      </c>
      <c r="F14" t="s">
        <v>214</v>
      </c>
      <c r="G14" t="s">
        <v>74</v>
      </c>
      <c r="H14" t="s">
        <v>74</v>
      </c>
      <c r="I14" t="s">
        <v>215</v>
      </c>
      <c r="J14" t="s">
        <v>77</v>
      </c>
      <c r="K14" t="s">
        <v>74</v>
      </c>
      <c r="L14" t="s">
        <v>74</v>
      </c>
      <c r="M14" t="s">
        <v>78</v>
      </c>
      <c r="N14" t="s">
        <v>52</v>
      </c>
      <c r="O14" t="s">
        <v>79</v>
      </c>
      <c r="P14" t="s">
        <v>80</v>
      </c>
      <c r="Q14" t="s">
        <v>81</v>
      </c>
      <c r="R14" t="s">
        <v>74</v>
      </c>
      <c r="S14" t="s">
        <v>82</v>
      </c>
      <c r="T14" t="s">
        <v>74</v>
      </c>
      <c r="U14" t="s">
        <v>216</v>
      </c>
      <c r="V14" t="s">
        <v>74</v>
      </c>
      <c r="W14" t="s">
        <v>217</v>
      </c>
      <c r="X14" t="s">
        <v>218</v>
      </c>
      <c r="Y14" t="s">
        <v>74</v>
      </c>
      <c r="Z14" t="s">
        <v>74</v>
      </c>
      <c r="AA14" t="s">
        <v>74</v>
      </c>
      <c r="AB14" t="s">
        <v>74</v>
      </c>
      <c r="AC14" t="s">
        <v>74</v>
      </c>
      <c r="AD14" t="s">
        <v>74</v>
      </c>
      <c r="AE14" t="s">
        <v>74</v>
      </c>
      <c r="AF14" t="s">
        <v>74</v>
      </c>
      <c r="AG14">
        <v>5</v>
      </c>
      <c r="AH14">
        <v>0</v>
      </c>
      <c r="AI14">
        <v>0</v>
      </c>
      <c r="AJ14">
        <v>0</v>
      </c>
      <c r="AK14">
        <v>1</v>
      </c>
      <c r="AL14" t="s">
        <v>109</v>
      </c>
      <c r="AM14" t="s">
        <v>110</v>
      </c>
      <c r="AN14" t="s">
        <v>111</v>
      </c>
      <c r="AO14" t="s">
        <v>91</v>
      </c>
      <c r="AP14" t="s">
        <v>74</v>
      </c>
      <c r="AQ14" t="s">
        <v>74</v>
      </c>
      <c r="AR14" t="s">
        <v>93</v>
      </c>
      <c r="AS14" t="s">
        <v>94</v>
      </c>
      <c r="AT14" t="s">
        <v>95</v>
      </c>
      <c r="AU14">
        <v>2008</v>
      </c>
      <c r="AV14">
        <v>43</v>
      </c>
      <c r="AW14">
        <v>7</v>
      </c>
      <c r="AX14" t="s">
        <v>74</v>
      </c>
      <c r="AY14" t="s">
        <v>96</v>
      </c>
      <c r="AZ14" t="s">
        <v>74</v>
      </c>
      <c r="BA14" t="s">
        <v>74</v>
      </c>
      <c r="BB14" t="s">
        <v>219</v>
      </c>
      <c r="BC14" t="s">
        <v>219</v>
      </c>
      <c r="BD14" t="s">
        <v>74</v>
      </c>
      <c r="BE14" t="s">
        <v>74</v>
      </c>
      <c r="BF14" t="s">
        <v>74</v>
      </c>
      <c r="BG14" t="s">
        <v>74</v>
      </c>
      <c r="BH14" t="s">
        <v>74</v>
      </c>
      <c r="BI14">
        <v>1</v>
      </c>
      <c r="BJ14" t="s">
        <v>98</v>
      </c>
      <c r="BK14" t="s">
        <v>113</v>
      </c>
      <c r="BL14" t="s">
        <v>98</v>
      </c>
      <c r="BM14" t="s">
        <v>100</v>
      </c>
      <c r="BN14" t="s">
        <v>74</v>
      </c>
      <c r="BO14" t="s">
        <v>74</v>
      </c>
      <c r="BP14" t="s">
        <v>74</v>
      </c>
      <c r="BQ14" t="s">
        <v>74</v>
      </c>
      <c r="BR14" t="s">
        <v>101</v>
      </c>
      <c r="BS14" t="s">
        <v>220</v>
      </c>
      <c r="BT14" t="str">
        <f>HYPERLINK("https%3A%2F%2Fwww.webofscience.com%2Fwos%2Fwoscc%2Ffull-record%2FWOS:000257683100043","View Full Record in Web of Science")</f>
        <v>View Full Record in Web of Science</v>
      </c>
    </row>
    <row r="15" spans="1:72" x14ac:dyDescent="0.15">
      <c r="A15" t="s">
        <v>72</v>
      </c>
      <c r="B15" t="s">
        <v>221</v>
      </c>
      <c r="C15" t="s">
        <v>74</v>
      </c>
      <c r="D15" t="s">
        <v>74</v>
      </c>
      <c r="E15" t="s">
        <v>74</v>
      </c>
      <c r="F15" t="s">
        <v>222</v>
      </c>
      <c r="G15" t="s">
        <v>74</v>
      </c>
      <c r="H15" t="s">
        <v>74</v>
      </c>
      <c r="I15" t="s">
        <v>223</v>
      </c>
      <c r="J15" t="s">
        <v>77</v>
      </c>
      <c r="K15" t="s">
        <v>74</v>
      </c>
      <c r="L15" t="s">
        <v>74</v>
      </c>
      <c r="M15" t="s">
        <v>78</v>
      </c>
      <c r="N15" t="s">
        <v>52</v>
      </c>
      <c r="O15" t="s">
        <v>79</v>
      </c>
      <c r="P15" t="s">
        <v>80</v>
      </c>
      <c r="Q15" t="s">
        <v>81</v>
      </c>
      <c r="R15" t="s">
        <v>74</v>
      </c>
      <c r="S15" t="s">
        <v>82</v>
      </c>
      <c r="T15" t="s">
        <v>74</v>
      </c>
      <c r="U15" t="s">
        <v>74</v>
      </c>
      <c r="V15" t="s">
        <v>74</v>
      </c>
      <c r="W15" t="s">
        <v>224</v>
      </c>
      <c r="X15" t="s">
        <v>225</v>
      </c>
      <c r="Y15" t="s">
        <v>74</v>
      </c>
      <c r="Z15" t="s">
        <v>226</v>
      </c>
      <c r="AA15" t="s">
        <v>74</v>
      </c>
      <c r="AB15" t="s">
        <v>74</v>
      </c>
      <c r="AC15" t="s">
        <v>74</v>
      </c>
      <c r="AD15" t="s">
        <v>74</v>
      </c>
      <c r="AE15" t="s">
        <v>74</v>
      </c>
      <c r="AF15" t="s">
        <v>74</v>
      </c>
      <c r="AG15">
        <v>4</v>
      </c>
      <c r="AH15">
        <v>0</v>
      </c>
      <c r="AI15">
        <v>0</v>
      </c>
      <c r="AJ15">
        <v>0</v>
      </c>
      <c r="AK15">
        <v>1</v>
      </c>
      <c r="AL15" t="s">
        <v>109</v>
      </c>
      <c r="AM15" t="s">
        <v>110</v>
      </c>
      <c r="AN15" t="s">
        <v>111</v>
      </c>
      <c r="AO15" t="s">
        <v>91</v>
      </c>
      <c r="AP15" t="s">
        <v>74</v>
      </c>
      <c r="AQ15" t="s">
        <v>74</v>
      </c>
      <c r="AR15" t="s">
        <v>93</v>
      </c>
      <c r="AS15" t="s">
        <v>94</v>
      </c>
      <c r="AT15" t="s">
        <v>95</v>
      </c>
      <c r="AU15">
        <v>2008</v>
      </c>
      <c r="AV15">
        <v>43</v>
      </c>
      <c r="AW15">
        <v>7</v>
      </c>
      <c r="AX15" t="s">
        <v>74</v>
      </c>
      <c r="AY15" t="s">
        <v>96</v>
      </c>
      <c r="AZ15" t="s">
        <v>74</v>
      </c>
      <c r="BA15" t="s">
        <v>74</v>
      </c>
      <c r="BB15" t="s">
        <v>219</v>
      </c>
      <c r="BC15" t="s">
        <v>219</v>
      </c>
      <c r="BD15" t="s">
        <v>74</v>
      </c>
      <c r="BE15" t="s">
        <v>74</v>
      </c>
      <c r="BF15" t="s">
        <v>74</v>
      </c>
      <c r="BG15" t="s">
        <v>74</v>
      </c>
      <c r="BH15" t="s">
        <v>74</v>
      </c>
      <c r="BI15">
        <v>1</v>
      </c>
      <c r="BJ15" t="s">
        <v>98</v>
      </c>
      <c r="BK15" t="s">
        <v>113</v>
      </c>
      <c r="BL15" t="s">
        <v>98</v>
      </c>
      <c r="BM15" t="s">
        <v>100</v>
      </c>
      <c r="BN15" t="s">
        <v>74</v>
      </c>
      <c r="BO15" t="s">
        <v>74</v>
      </c>
      <c r="BP15" t="s">
        <v>74</v>
      </c>
      <c r="BQ15" t="s">
        <v>74</v>
      </c>
      <c r="BR15" t="s">
        <v>101</v>
      </c>
      <c r="BS15" t="s">
        <v>227</v>
      </c>
      <c r="BT15" t="str">
        <f>HYPERLINK("https%3A%2F%2Fwww.webofscience.com%2Fwos%2Fwoscc%2Ffull-record%2FWOS:000257683100044","View Full Record in Web of Science")</f>
        <v>View Full Record in Web of Science</v>
      </c>
    </row>
    <row r="16" spans="1:72" x14ac:dyDescent="0.15">
      <c r="A16" t="s">
        <v>72</v>
      </c>
      <c r="B16" t="s">
        <v>228</v>
      </c>
      <c r="C16" t="s">
        <v>74</v>
      </c>
      <c r="D16" t="s">
        <v>74</v>
      </c>
      <c r="E16" t="s">
        <v>74</v>
      </c>
      <c r="F16" t="s">
        <v>229</v>
      </c>
      <c r="G16" t="s">
        <v>74</v>
      </c>
      <c r="H16" t="s">
        <v>74</v>
      </c>
      <c r="I16" t="s">
        <v>230</v>
      </c>
      <c r="J16" t="s">
        <v>77</v>
      </c>
      <c r="K16" t="s">
        <v>74</v>
      </c>
      <c r="L16" t="s">
        <v>74</v>
      </c>
      <c r="M16" t="s">
        <v>78</v>
      </c>
      <c r="N16" t="s">
        <v>52</v>
      </c>
      <c r="O16" t="s">
        <v>79</v>
      </c>
      <c r="P16" t="s">
        <v>80</v>
      </c>
      <c r="Q16" t="s">
        <v>81</v>
      </c>
      <c r="R16" t="s">
        <v>74</v>
      </c>
      <c r="S16" t="s">
        <v>82</v>
      </c>
      <c r="T16" t="s">
        <v>74</v>
      </c>
      <c r="U16" t="s">
        <v>231</v>
      </c>
      <c r="V16" t="s">
        <v>74</v>
      </c>
      <c r="W16" t="s">
        <v>232</v>
      </c>
      <c r="X16" t="s">
        <v>233</v>
      </c>
      <c r="Y16" t="s">
        <v>74</v>
      </c>
      <c r="Z16" t="s">
        <v>234</v>
      </c>
      <c r="AA16" t="s">
        <v>74</v>
      </c>
      <c r="AB16" t="s">
        <v>74</v>
      </c>
      <c r="AC16" t="s">
        <v>74</v>
      </c>
      <c r="AD16" t="s">
        <v>74</v>
      </c>
      <c r="AE16" t="s">
        <v>74</v>
      </c>
      <c r="AF16" t="s">
        <v>74</v>
      </c>
      <c r="AG16">
        <v>6</v>
      </c>
      <c r="AH16">
        <v>3</v>
      </c>
      <c r="AI16">
        <v>3</v>
      </c>
      <c r="AJ16">
        <v>0</v>
      </c>
      <c r="AK16">
        <v>1</v>
      </c>
      <c r="AL16" t="s">
        <v>88</v>
      </c>
      <c r="AM16" t="s">
        <v>89</v>
      </c>
      <c r="AN16" t="s">
        <v>90</v>
      </c>
      <c r="AO16" t="s">
        <v>91</v>
      </c>
      <c r="AP16" t="s">
        <v>92</v>
      </c>
      <c r="AQ16" t="s">
        <v>74</v>
      </c>
      <c r="AR16" t="s">
        <v>93</v>
      </c>
      <c r="AS16" t="s">
        <v>94</v>
      </c>
      <c r="AT16" t="s">
        <v>95</v>
      </c>
      <c r="AU16">
        <v>2008</v>
      </c>
      <c r="AV16">
        <v>43</v>
      </c>
      <c r="AW16">
        <v>7</v>
      </c>
      <c r="AX16" t="s">
        <v>74</v>
      </c>
      <c r="AY16" t="s">
        <v>96</v>
      </c>
      <c r="AZ16" t="s">
        <v>74</v>
      </c>
      <c r="BA16" t="s">
        <v>74</v>
      </c>
      <c r="BB16" t="s">
        <v>235</v>
      </c>
      <c r="BC16" t="s">
        <v>235</v>
      </c>
      <c r="BD16" t="s">
        <v>74</v>
      </c>
      <c r="BE16" t="s">
        <v>74</v>
      </c>
      <c r="BF16" t="s">
        <v>74</v>
      </c>
      <c r="BG16" t="s">
        <v>74</v>
      </c>
      <c r="BH16" t="s">
        <v>74</v>
      </c>
      <c r="BI16">
        <v>1</v>
      </c>
      <c r="BJ16" t="s">
        <v>98</v>
      </c>
      <c r="BK16" t="s">
        <v>99</v>
      </c>
      <c r="BL16" t="s">
        <v>98</v>
      </c>
      <c r="BM16" t="s">
        <v>100</v>
      </c>
      <c r="BN16" t="s">
        <v>74</v>
      </c>
      <c r="BO16" t="s">
        <v>74</v>
      </c>
      <c r="BP16" t="s">
        <v>74</v>
      </c>
      <c r="BQ16" t="s">
        <v>74</v>
      </c>
      <c r="BR16" t="s">
        <v>101</v>
      </c>
      <c r="BS16" t="s">
        <v>236</v>
      </c>
      <c r="BT16" t="str">
        <f>HYPERLINK("https%3A%2F%2Fwww.webofscience.com%2Fwos%2Fwoscc%2Ffull-record%2FWOS:000257683100045","View Full Record in Web of Science")</f>
        <v>View Full Record in Web of Science</v>
      </c>
    </row>
    <row r="17" spans="1:72" x14ac:dyDescent="0.15">
      <c r="A17" t="s">
        <v>72</v>
      </c>
      <c r="B17" t="s">
        <v>237</v>
      </c>
      <c r="C17" t="s">
        <v>74</v>
      </c>
      <c r="D17" t="s">
        <v>74</v>
      </c>
      <c r="E17" t="s">
        <v>74</v>
      </c>
      <c r="F17" t="s">
        <v>238</v>
      </c>
      <c r="G17" t="s">
        <v>74</v>
      </c>
      <c r="H17" t="s">
        <v>74</v>
      </c>
      <c r="I17" t="s">
        <v>239</v>
      </c>
      <c r="J17" t="s">
        <v>77</v>
      </c>
      <c r="K17" t="s">
        <v>74</v>
      </c>
      <c r="L17" t="s">
        <v>74</v>
      </c>
      <c r="M17" t="s">
        <v>78</v>
      </c>
      <c r="N17" t="s">
        <v>52</v>
      </c>
      <c r="O17" t="s">
        <v>79</v>
      </c>
      <c r="P17" t="s">
        <v>80</v>
      </c>
      <c r="Q17" t="s">
        <v>81</v>
      </c>
      <c r="R17" t="s">
        <v>74</v>
      </c>
      <c r="S17" t="s">
        <v>82</v>
      </c>
      <c r="T17" t="s">
        <v>74</v>
      </c>
      <c r="U17" t="s">
        <v>74</v>
      </c>
      <c r="V17" t="s">
        <v>74</v>
      </c>
      <c r="W17" t="s">
        <v>240</v>
      </c>
      <c r="X17" t="s">
        <v>145</v>
      </c>
      <c r="Y17" t="s">
        <v>74</v>
      </c>
      <c r="Z17" t="s">
        <v>74</v>
      </c>
      <c r="AA17" t="s">
        <v>74</v>
      </c>
      <c r="AB17" t="s">
        <v>74</v>
      </c>
      <c r="AC17" t="s">
        <v>74</v>
      </c>
      <c r="AD17" t="s">
        <v>74</v>
      </c>
      <c r="AE17" t="s">
        <v>74</v>
      </c>
      <c r="AF17" t="s">
        <v>74</v>
      </c>
      <c r="AG17">
        <v>0</v>
      </c>
      <c r="AH17">
        <v>1</v>
      </c>
      <c r="AI17">
        <v>1</v>
      </c>
      <c r="AJ17">
        <v>0</v>
      </c>
      <c r="AK17">
        <v>0</v>
      </c>
      <c r="AL17" t="s">
        <v>109</v>
      </c>
      <c r="AM17" t="s">
        <v>110</v>
      </c>
      <c r="AN17" t="s">
        <v>111</v>
      </c>
      <c r="AO17" t="s">
        <v>91</v>
      </c>
      <c r="AP17" t="s">
        <v>74</v>
      </c>
      <c r="AQ17" t="s">
        <v>74</v>
      </c>
      <c r="AR17" t="s">
        <v>93</v>
      </c>
      <c r="AS17" t="s">
        <v>94</v>
      </c>
      <c r="AT17" t="s">
        <v>95</v>
      </c>
      <c r="AU17">
        <v>2008</v>
      </c>
      <c r="AV17">
        <v>43</v>
      </c>
      <c r="AW17">
        <v>7</v>
      </c>
      <c r="AX17" t="s">
        <v>74</v>
      </c>
      <c r="AY17" t="s">
        <v>96</v>
      </c>
      <c r="AZ17" t="s">
        <v>74</v>
      </c>
      <c r="BA17" t="s">
        <v>74</v>
      </c>
      <c r="BB17" t="s">
        <v>97</v>
      </c>
      <c r="BC17" t="s">
        <v>97</v>
      </c>
      <c r="BD17" t="s">
        <v>74</v>
      </c>
      <c r="BE17" t="s">
        <v>74</v>
      </c>
      <c r="BF17" t="s">
        <v>74</v>
      </c>
      <c r="BG17" t="s">
        <v>74</v>
      </c>
      <c r="BH17" t="s">
        <v>74</v>
      </c>
      <c r="BI17">
        <v>1</v>
      </c>
      <c r="BJ17" t="s">
        <v>98</v>
      </c>
      <c r="BK17" t="s">
        <v>113</v>
      </c>
      <c r="BL17" t="s">
        <v>98</v>
      </c>
      <c r="BM17" t="s">
        <v>100</v>
      </c>
      <c r="BN17" t="s">
        <v>74</v>
      </c>
      <c r="BO17" t="s">
        <v>74</v>
      </c>
      <c r="BP17" t="s">
        <v>74</v>
      </c>
      <c r="BQ17" t="s">
        <v>74</v>
      </c>
      <c r="BR17" t="s">
        <v>101</v>
      </c>
      <c r="BS17" t="s">
        <v>241</v>
      </c>
      <c r="BT17" t="str">
        <f>HYPERLINK("https%3A%2F%2Fwww.webofscience.com%2Fwos%2Fwoscc%2Ffull-record%2FWOS:000257683100337","View Full Record in Web of Science")</f>
        <v>View Full Record in Web of Science</v>
      </c>
    </row>
    <row r="18" spans="1:72" x14ac:dyDescent="0.15">
      <c r="A18" t="s">
        <v>72</v>
      </c>
      <c r="B18" t="s">
        <v>242</v>
      </c>
      <c r="C18" t="s">
        <v>74</v>
      </c>
      <c r="D18" t="s">
        <v>74</v>
      </c>
      <c r="E18" t="s">
        <v>74</v>
      </c>
      <c r="F18" t="s">
        <v>243</v>
      </c>
      <c r="G18" t="s">
        <v>74</v>
      </c>
      <c r="H18" t="s">
        <v>74</v>
      </c>
      <c r="I18" t="s">
        <v>244</v>
      </c>
      <c r="J18" t="s">
        <v>77</v>
      </c>
      <c r="K18" t="s">
        <v>74</v>
      </c>
      <c r="L18" t="s">
        <v>74</v>
      </c>
      <c r="M18" t="s">
        <v>78</v>
      </c>
      <c r="N18" t="s">
        <v>52</v>
      </c>
      <c r="O18" t="s">
        <v>79</v>
      </c>
      <c r="P18" t="s">
        <v>80</v>
      </c>
      <c r="Q18" t="s">
        <v>81</v>
      </c>
      <c r="R18" t="s">
        <v>74</v>
      </c>
      <c r="S18" t="s">
        <v>82</v>
      </c>
      <c r="T18" t="s">
        <v>74</v>
      </c>
      <c r="U18" t="s">
        <v>245</v>
      </c>
      <c r="V18" t="s">
        <v>74</v>
      </c>
      <c r="W18" t="s">
        <v>246</v>
      </c>
      <c r="X18" t="s">
        <v>247</v>
      </c>
      <c r="Y18" t="s">
        <v>74</v>
      </c>
      <c r="Z18" t="s">
        <v>248</v>
      </c>
      <c r="AA18" t="s">
        <v>249</v>
      </c>
      <c r="AB18" t="s">
        <v>250</v>
      </c>
      <c r="AC18" t="s">
        <v>251</v>
      </c>
      <c r="AD18" t="s">
        <v>171</v>
      </c>
      <c r="AE18" t="s">
        <v>74</v>
      </c>
      <c r="AF18" t="s">
        <v>74</v>
      </c>
      <c r="AG18">
        <v>5</v>
      </c>
      <c r="AH18">
        <v>2</v>
      </c>
      <c r="AI18">
        <v>2</v>
      </c>
      <c r="AJ18">
        <v>0</v>
      </c>
      <c r="AK18">
        <v>1</v>
      </c>
      <c r="AL18" t="s">
        <v>109</v>
      </c>
      <c r="AM18" t="s">
        <v>110</v>
      </c>
      <c r="AN18" t="s">
        <v>111</v>
      </c>
      <c r="AO18" t="s">
        <v>91</v>
      </c>
      <c r="AP18" t="s">
        <v>74</v>
      </c>
      <c r="AQ18" t="s">
        <v>74</v>
      </c>
      <c r="AR18" t="s">
        <v>93</v>
      </c>
      <c r="AS18" t="s">
        <v>94</v>
      </c>
      <c r="AT18" t="s">
        <v>95</v>
      </c>
      <c r="AU18">
        <v>2008</v>
      </c>
      <c r="AV18">
        <v>43</v>
      </c>
      <c r="AW18">
        <v>7</v>
      </c>
      <c r="AX18" t="s">
        <v>74</v>
      </c>
      <c r="AY18" t="s">
        <v>96</v>
      </c>
      <c r="AZ18" t="s">
        <v>74</v>
      </c>
      <c r="BA18" t="s">
        <v>74</v>
      </c>
      <c r="BB18" t="s">
        <v>235</v>
      </c>
      <c r="BC18" t="s">
        <v>235</v>
      </c>
      <c r="BD18" t="s">
        <v>74</v>
      </c>
      <c r="BE18" t="s">
        <v>74</v>
      </c>
      <c r="BF18" t="s">
        <v>74</v>
      </c>
      <c r="BG18" t="s">
        <v>74</v>
      </c>
      <c r="BH18" t="s">
        <v>74</v>
      </c>
      <c r="BI18">
        <v>1</v>
      </c>
      <c r="BJ18" t="s">
        <v>98</v>
      </c>
      <c r="BK18" t="s">
        <v>113</v>
      </c>
      <c r="BL18" t="s">
        <v>98</v>
      </c>
      <c r="BM18" t="s">
        <v>100</v>
      </c>
      <c r="BN18" t="s">
        <v>74</v>
      </c>
      <c r="BO18" t="s">
        <v>74</v>
      </c>
      <c r="BP18" t="s">
        <v>74</v>
      </c>
      <c r="BQ18" t="s">
        <v>74</v>
      </c>
      <c r="BR18" t="s">
        <v>101</v>
      </c>
      <c r="BS18" t="s">
        <v>252</v>
      </c>
      <c r="BT18" t="str">
        <f>HYPERLINK("https%3A%2F%2Fwww.webofscience.com%2Fwos%2Fwoscc%2Ffull-record%2FWOS:000257683100046","View Full Record in Web of Science")</f>
        <v>View Full Record in Web of Science</v>
      </c>
    </row>
    <row r="19" spans="1:72" x14ac:dyDescent="0.15">
      <c r="A19" t="s">
        <v>72</v>
      </c>
      <c r="B19" t="s">
        <v>253</v>
      </c>
      <c r="C19" t="s">
        <v>74</v>
      </c>
      <c r="D19" t="s">
        <v>74</v>
      </c>
      <c r="E19" t="s">
        <v>74</v>
      </c>
      <c r="F19" t="s">
        <v>254</v>
      </c>
      <c r="G19" t="s">
        <v>74</v>
      </c>
      <c r="H19" t="s">
        <v>74</v>
      </c>
      <c r="I19" t="s">
        <v>255</v>
      </c>
      <c r="J19" t="s">
        <v>77</v>
      </c>
      <c r="K19" t="s">
        <v>74</v>
      </c>
      <c r="L19" t="s">
        <v>74</v>
      </c>
      <c r="M19" t="s">
        <v>78</v>
      </c>
      <c r="N19" t="s">
        <v>52</v>
      </c>
      <c r="O19" t="s">
        <v>79</v>
      </c>
      <c r="P19" t="s">
        <v>80</v>
      </c>
      <c r="Q19" t="s">
        <v>81</v>
      </c>
      <c r="R19" t="s">
        <v>74</v>
      </c>
      <c r="S19" t="s">
        <v>82</v>
      </c>
      <c r="T19" t="s">
        <v>74</v>
      </c>
      <c r="U19" t="s">
        <v>256</v>
      </c>
      <c r="V19" t="s">
        <v>74</v>
      </c>
      <c r="W19" t="s">
        <v>257</v>
      </c>
      <c r="X19" t="s">
        <v>258</v>
      </c>
      <c r="Y19" t="s">
        <v>74</v>
      </c>
      <c r="Z19" t="s">
        <v>259</v>
      </c>
      <c r="AA19" t="s">
        <v>260</v>
      </c>
      <c r="AB19" t="s">
        <v>74</v>
      </c>
      <c r="AC19" t="s">
        <v>74</v>
      </c>
      <c r="AD19" t="s">
        <v>74</v>
      </c>
      <c r="AE19" t="s">
        <v>74</v>
      </c>
      <c r="AF19" t="s">
        <v>74</v>
      </c>
      <c r="AG19">
        <v>6</v>
      </c>
      <c r="AH19">
        <v>1</v>
      </c>
      <c r="AI19">
        <v>1</v>
      </c>
      <c r="AJ19">
        <v>0</v>
      </c>
      <c r="AK19">
        <v>1</v>
      </c>
      <c r="AL19" t="s">
        <v>109</v>
      </c>
      <c r="AM19" t="s">
        <v>110</v>
      </c>
      <c r="AN19" t="s">
        <v>111</v>
      </c>
      <c r="AO19" t="s">
        <v>91</v>
      </c>
      <c r="AP19" t="s">
        <v>74</v>
      </c>
      <c r="AQ19" t="s">
        <v>74</v>
      </c>
      <c r="AR19" t="s">
        <v>93</v>
      </c>
      <c r="AS19" t="s">
        <v>94</v>
      </c>
      <c r="AT19" t="s">
        <v>95</v>
      </c>
      <c r="AU19">
        <v>2008</v>
      </c>
      <c r="AV19">
        <v>43</v>
      </c>
      <c r="AW19">
        <v>7</v>
      </c>
      <c r="AX19" t="s">
        <v>74</v>
      </c>
      <c r="AY19" t="s">
        <v>96</v>
      </c>
      <c r="AZ19" t="s">
        <v>74</v>
      </c>
      <c r="BA19" t="s">
        <v>74</v>
      </c>
      <c r="BB19" t="s">
        <v>261</v>
      </c>
      <c r="BC19" t="s">
        <v>261</v>
      </c>
      <c r="BD19" t="s">
        <v>74</v>
      </c>
      <c r="BE19" t="s">
        <v>74</v>
      </c>
      <c r="BF19" t="s">
        <v>74</v>
      </c>
      <c r="BG19" t="s">
        <v>74</v>
      </c>
      <c r="BH19" t="s">
        <v>74</v>
      </c>
      <c r="BI19">
        <v>1</v>
      </c>
      <c r="BJ19" t="s">
        <v>98</v>
      </c>
      <c r="BK19" t="s">
        <v>113</v>
      </c>
      <c r="BL19" t="s">
        <v>98</v>
      </c>
      <c r="BM19" t="s">
        <v>100</v>
      </c>
      <c r="BN19" t="s">
        <v>74</v>
      </c>
      <c r="BO19" t="s">
        <v>74</v>
      </c>
      <c r="BP19" t="s">
        <v>74</v>
      </c>
      <c r="BQ19" t="s">
        <v>74</v>
      </c>
      <c r="BR19" t="s">
        <v>101</v>
      </c>
      <c r="BS19" t="s">
        <v>262</v>
      </c>
      <c r="BT19" t="str">
        <f>HYPERLINK("https%3A%2F%2Fwww.webofscience.com%2Fwos%2Fwoscc%2Ffull-record%2FWOS:000257683100047","View Full Record in Web of Science")</f>
        <v>View Full Record in Web of Science</v>
      </c>
    </row>
    <row r="20" spans="1:72" x14ac:dyDescent="0.15">
      <c r="A20" t="s">
        <v>72</v>
      </c>
      <c r="B20" t="s">
        <v>263</v>
      </c>
      <c r="C20" t="s">
        <v>74</v>
      </c>
      <c r="D20" t="s">
        <v>74</v>
      </c>
      <c r="E20" t="s">
        <v>74</v>
      </c>
      <c r="F20" t="s">
        <v>264</v>
      </c>
      <c r="G20" t="s">
        <v>74</v>
      </c>
      <c r="H20" t="s">
        <v>74</v>
      </c>
      <c r="I20" t="s">
        <v>265</v>
      </c>
      <c r="J20" t="s">
        <v>77</v>
      </c>
      <c r="K20" t="s">
        <v>74</v>
      </c>
      <c r="L20" t="s">
        <v>74</v>
      </c>
      <c r="M20" t="s">
        <v>78</v>
      </c>
      <c r="N20" t="s">
        <v>52</v>
      </c>
      <c r="O20" t="s">
        <v>79</v>
      </c>
      <c r="P20" t="s">
        <v>80</v>
      </c>
      <c r="Q20" t="s">
        <v>81</v>
      </c>
      <c r="R20" t="s">
        <v>74</v>
      </c>
      <c r="S20" t="s">
        <v>82</v>
      </c>
      <c r="T20" t="s">
        <v>74</v>
      </c>
      <c r="U20" t="s">
        <v>74</v>
      </c>
      <c r="V20" t="s">
        <v>74</v>
      </c>
      <c r="W20" t="s">
        <v>266</v>
      </c>
      <c r="X20" t="s">
        <v>267</v>
      </c>
      <c r="Y20" t="s">
        <v>74</v>
      </c>
      <c r="Z20" t="s">
        <v>268</v>
      </c>
      <c r="AA20" t="s">
        <v>74</v>
      </c>
      <c r="AB20" t="s">
        <v>74</v>
      </c>
      <c r="AC20" t="s">
        <v>74</v>
      </c>
      <c r="AD20" t="s">
        <v>74</v>
      </c>
      <c r="AE20" t="s">
        <v>74</v>
      </c>
      <c r="AF20" t="s">
        <v>74</v>
      </c>
      <c r="AG20">
        <v>3</v>
      </c>
      <c r="AH20">
        <v>0</v>
      </c>
      <c r="AI20">
        <v>0</v>
      </c>
      <c r="AJ20">
        <v>0</v>
      </c>
      <c r="AK20">
        <v>0</v>
      </c>
      <c r="AL20" t="s">
        <v>109</v>
      </c>
      <c r="AM20" t="s">
        <v>110</v>
      </c>
      <c r="AN20" t="s">
        <v>111</v>
      </c>
      <c r="AO20" t="s">
        <v>91</v>
      </c>
      <c r="AP20" t="s">
        <v>74</v>
      </c>
      <c r="AQ20" t="s">
        <v>74</v>
      </c>
      <c r="AR20" t="s">
        <v>93</v>
      </c>
      <c r="AS20" t="s">
        <v>94</v>
      </c>
      <c r="AT20" t="s">
        <v>95</v>
      </c>
      <c r="AU20">
        <v>2008</v>
      </c>
      <c r="AV20">
        <v>43</v>
      </c>
      <c r="AW20">
        <v>7</v>
      </c>
      <c r="AX20" t="s">
        <v>74</v>
      </c>
      <c r="AY20" t="s">
        <v>96</v>
      </c>
      <c r="AZ20" t="s">
        <v>74</v>
      </c>
      <c r="BA20" t="s">
        <v>74</v>
      </c>
      <c r="BB20" t="s">
        <v>261</v>
      </c>
      <c r="BC20" t="s">
        <v>261</v>
      </c>
      <c r="BD20" t="s">
        <v>74</v>
      </c>
      <c r="BE20" t="s">
        <v>74</v>
      </c>
      <c r="BF20" t="s">
        <v>74</v>
      </c>
      <c r="BG20" t="s">
        <v>74</v>
      </c>
      <c r="BH20" t="s">
        <v>74</v>
      </c>
      <c r="BI20">
        <v>1</v>
      </c>
      <c r="BJ20" t="s">
        <v>98</v>
      </c>
      <c r="BK20" t="s">
        <v>113</v>
      </c>
      <c r="BL20" t="s">
        <v>98</v>
      </c>
      <c r="BM20" t="s">
        <v>100</v>
      </c>
      <c r="BN20" t="s">
        <v>74</v>
      </c>
      <c r="BO20" t="s">
        <v>74</v>
      </c>
      <c r="BP20" t="s">
        <v>74</v>
      </c>
      <c r="BQ20" t="s">
        <v>74</v>
      </c>
      <c r="BR20" t="s">
        <v>101</v>
      </c>
      <c r="BS20" t="s">
        <v>269</v>
      </c>
      <c r="BT20" t="str">
        <f>HYPERLINK("https%3A%2F%2Fwww.webofscience.com%2Fwos%2Fwoscc%2Ffull-record%2FWOS:000257683100048","View Full Record in Web of Science")</f>
        <v>View Full Record in Web of Science</v>
      </c>
    </row>
    <row r="21" spans="1:72" x14ac:dyDescent="0.15">
      <c r="A21" t="s">
        <v>72</v>
      </c>
      <c r="B21" t="s">
        <v>270</v>
      </c>
      <c r="C21" t="s">
        <v>74</v>
      </c>
      <c r="D21" t="s">
        <v>74</v>
      </c>
      <c r="E21" t="s">
        <v>74</v>
      </c>
      <c r="F21" t="s">
        <v>271</v>
      </c>
      <c r="G21" t="s">
        <v>74</v>
      </c>
      <c r="H21" t="s">
        <v>74</v>
      </c>
      <c r="I21" t="s">
        <v>272</v>
      </c>
      <c r="J21" t="s">
        <v>77</v>
      </c>
      <c r="K21" t="s">
        <v>74</v>
      </c>
      <c r="L21" t="s">
        <v>74</v>
      </c>
      <c r="M21" t="s">
        <v>78</v>
      </c>
      <c r="N21" t="s">
        <v>52</v>
      </c>
      <c r="O21" t="s">
        <v>79</v>
      </c>
      <c r="P21" t="s">
        <v>80</v>
      </c>
      <c r="Q21" t="s">
        <v>81</v>
      </c>
      <c r="R21" t="s">
        <v>74</v>
      </c>
      <c r="S21" t="s">
        <v>82</v>
      </c>
      <c r="T21" t="s">
        <v>74</v>
      </c>
      <c r="U21" t="s">
        <v>273</v>
      </c>
      <c r="V21" t="s">
        <v>74</v>
      </c>
      <c r="W21" t="s">
        <v>274</v>
      </c>
      <c r="X21" t="s">
        <v>275</v>
      </c>
      <c r="Y21" t="s">
        <v>74</v>
      </c>
      <c r="Z21" t="s">
        <v>276</v>
      </c>
      <c r="AA21" t="s">
        <v>277</v>
      </c>
      <c r="AB21" t="s">
        <v>74</v>
      </c>
      <c r="AC21" t="s">
        <v>74</v>
      </c>
      <c r="AD21" t="s">
        <v>74</v>
      </c>
      <c r="AE21" t="s">
        <v>74</v>
      </c>
      <c r="AF21" t="s">
        <v>74</v>
      </c>
      <c r="AG21">
        <v>9</v>
      </c>
      <c r="AH21">
        <v>0</v>
      </c>
      <c r="AI21">
        <v>0</v>
      </c>
      <c r="AJ21">
        <v>0</v>
      </c>
      <c r="AK21">
        <v>1</v>
      </c>
      <c r="AL21" t="s">
        <v>109</v>
      </c>
      <c r="AM21" t="s">
        <v>110</v>
      </c>
      <c r="AN21" t="s">
        <v>111</v>
      </c>
      <c r="AO21" t="s">
        <v>91</v>
      </c>
      <c r="AP21" t="s">
        <v>74</v>
      </c>
      <c r="AQ21" t="s">
        <v>74</v>
      </c>
      <c r="AR21" t="s">
        <v>93</v>
      </c>
      <c r="AS21" t="s">
        <v>94</v>
      </c>
      <c r="AT21" t="s">
        <v>95</v>
      </c>
      <c r="AU21">
        <v>2008</v>
      </c>
      <c r="AV21">
        <v>43</v>
      </c>
      <c r="AW21">
        <v>7</v>
      </c>
      <c r="AX21" t="s">
        <v>74</v>
      </c>
      <c r="AY21" t="s">
        <v>96</v>
      </c>
      <c r="AZ21" t="s">
        <v>74</v>
      </c>
      <c r="BA21" t="s">
        <v>74</v>
      </c>
      <c r="BB21" t="s">
        <v>278</v>
      </c>
      <c r="BC21" t="s">
        <v>278</v>
      </c>
      <c r="BD21" t="s">
        <v>74</v>
      </c>
      <c r="BE21" t="s">
        <v>74</v>
      </c>
      <c r="BF21" t="s">
        <v>74</v>
      </c>
      <c r="BG21" t="s">
        <v>74</v>
      </c>
      <c r="BH21" t="s">
        <v>74</v>
      </c>
      <c r="BI21">
        <v>1</v>
      </c>
      <c r="BJ21" t="s">
        <v>98</v>
      </c>
      <c r="BK21" t="s">
        <v>113</v>
      </c>
      <c r="BL21" t="s">
        <v>98</v>
      </c>
      <c r="BM21" t="s">
        <v>100</v>
      </c>
      <c r="BN21" t="s">
        <v>74</v>
      </c>
      <c r="BO21" t="s">
        <v>74</v>
      </c>
      <c r="BP21" t="s">
        <v>74</v>
      </c>
      <c r="BQ21" t="s">
        <v>74</v>
      </c>
      <c r="BR21" t="s">
        <v>101</v>
      </c>
      <c r="BS21" t="s">
        <v>279</v>
      </c>
      <c r="BT21" t="str">
        <f>HYPERLINK("https%3A%2F%2Fwww.webofscience.com%2Fwos%2Fwoscc%2Ffull-record%2FWOS:000257683100049","View Full Record in Web of Science")</f>
        <v>View Full Record in Web of Science</v>
      </c>
    </row>
    <row r="22" spans="1:72" x14ac:dyDescent="0.15">
      <c r="A22" t="s">
        <v>72</v>
      </c>
      <c r="B22" t="s">
        <v>280</v>
      </c>
      <c r="C22" t="s">
        <v>74</v>
      </c>
      <c r="D22" t="s">
        <v>74</v>
      </c>
      <c r="E22" t="s">
        <v>74</v>
      </c>
      <c r="F22" t="s">
        <v>281</v>
      </c>
      <c r="G22" t="s">
        <v>74</v>
      </c>
      <c r="H22" t="s">
        <v>74</v>
      </c>
      <c r="I22" t="s">
        <v>282</v>
      </c>
      <c r="J22" t="s">
        <v>77</v>
      </c>
      <c r="K22" t="s">
        <v>74</v>
      </c>
      <c r="L22" t="s">
        <v>74</v>
      </c>
      <c r="M22" t="s">
        <v>78</v>
      </c>
      <c r="N22" t="s">
        <v>52</v>
      </c>
      <c r="O22" t="s">
        <v>79</v>
      </c>
      <c r="P22" t="s">
        <v>80</v>
      </c>
      <c r="Q22" t="s">
        <v>81</v>
      </c>
      <c r="R22" t="s">
        <v>74</v>
      </c>
      <c r="S22" t="s">
        <v>82</v>
      </c>
      <c r="T22" t="s">
        <v>74</v>
      </c>
      <c r="U22" t="s">
        <v>283</v>
      </c>
      <c r="V22" t="s">
        <v>74</v>
      </c>
      <c r="W22" t="s">
        <v>284</v>
      </c>
      <c r="X22" t="s">
        <v>285</v>
      </c>
      <c r="Y22" t="s">
        <v>74</v>
      </c>
      <c r="Z22" t="s">
        <v>286</v>
      </c>
      <c r="AA22" t="s">
        <v>74</v>
      </c>
      <c r="AB22" t="s">
        <v>74</v>
      </c>
      <c r="AC22" t="s">
        <v>74</v>
      </c>
      <c r="AD22" t="s">
        <v>74</v>
      </c>
      <c r="AE22" t="s">
        <v>74</v>
      </c>
      <c r="AF22" t="s">
        <v>74</v>
      </c>
      <c r="AG22">
        <v>10</v>
      </c>
      <c r="AH22">
        <v>0</v>
      </c>
      <c r="AI22">
        <v>0</v>
      </c>
      <c r="AJ22">
        <v>0</v>
      </c>
      <c r="AK22">
        <v>1</v>
      </c>
      <c r="AL22" t="s">
        <v>109</v>
      </c>
      <c r="AM22" t="s">
        <v>110</v>
      </c>
      <c r="AN22" t="s">
        <v>111</v>
      </c>
      <c r="AO22" t="s">
        <v>91</v>
      </c>
      <c r="AP22" t="s">
        <v>74</v>
      </c>
      <c r="AQ22" t="s">
        <v>74</v>
      </c>
      <c r="AR22" t="s">
        <v>93</v>
      </c>
      <c r="AS22" t="s">
        <v>94</v>
      </c>
      <c r="AT22" t="s">
        <v>95</v>
      </c>
      <c r="AU22">
        <v>2008</v>
      </c>
      <c r="AV22">
        <v>43</v>
      </c>
      <c r="AW22">
        <v>7</v>
      </c>
      <c r="AX22" t="s">
        <v>74</v>
      </c>
      <c r="AY22" t="s">
        <v>96</v>
      </c>
      <c r="AZ22" t="s">
        <v>74</v>
      </c>
      <c r="BA22" t="s">
        <v>74</v>
      </c>
      <c r="BB22" t="s">
        <v>278</v>
      </c>
      <c r="BC22" t="s">
        <v>278</v>
      </c>
      <c r="BD22" t="s">
        <v>74</v>
      </c>
      <c r="BE22" t="s">
        <v>74</v>
      </c>
      <c r="BF22" t="s">
        <v>74</v>
      </c>
      <c r="BG22" t="s">
        <v>74</v>
      </c>
      <c r="BH22" t="s">
        <v>74</v>
      </c>
      <c r="BI22">
        <v>1</v>
      </c>
      <c r="BJ22" t="s">
        <v>98</v>
      </c>
      <c r="BK22" t="s">
        <v>113</v>
      </c>
      <c r="BL22" t="s">
        <v>98</v>
      </c>
      <c r="BM22" t="s">
        <v>100</v>
      </c>
      <c r="BN22" t="s">
        <v>74</v>
      </c>
      <c r="BO22" t="s">
        <v>74</v>
      </c>
      <c r="BP22" t="s">
        <v>74</v>
      </c>
      <c r="BQ22" t="s">
        <v>74</v>
      </c>
      <c r="BR22" t="s">
        <v>101</v>
      </c>
      <c r="BS22" t="s">
        <v>287</v>
      </c>
      <c r="BT22" t="str">
        <f>HYPERLINK("https%3A%2F%2Fwww.webofscience.com%2Fwos%2Fwoscc%2Ffull-record%2FWOS:000257683100050","View Full Record in Web of Science")</f>
        <v>View Full Record in Web of Science</v>
      </c>
    </row>
    <row r="23" spans="1:72" x14ac:dyDescent="0.15">
      <c r="A23" t="s">
        <v>72</v>
      </c>
      <c r="B23" t="s">
        <v>288</v>
      </c>
      <c r="C23" t="s">
        <v>74</v>
      </c>
      <c r="D23" t="s">
        <v>74</v>
      </c>
      <c r="E23" t="s">
        <v>74</v>
      </c>
      <c r="F23" t="s">
        <v>289</v>
      </c>
      <c r="G23" t="s">
        <v>74</v>
      </c>
      <c r="H23" t="s">
        <v>74</v>
      </c>
      <c r="I23" t="s">
        <v>290</v>
      </c>
      <c r="J23" t="s">
        <v>77</v>
      </c>
      <c r="K23" t="s">
        <v>74</v>
      </c>
      <c r="L23" t="s">
        <v>74</v>
      </c>
      <c r="M23" t="s">
        <v>78</v>
      </c>
      <c r="N23" t="s">
        <v>52</v>
      </c>
      <c r="O23" t="s">
        <v>79</v>
      </c>
      <c r="P23" t="s">
        <v>80</v>
      </c>
      <c r="Q23" t="s">
        <v>81</v>
      </c>
      <c r="R23" t="s">
        <v>74</v>
      </c>
      <c r="S23" t="s">
        <v>82</v>
      </c>
      <c r="T23" t="s">
        <v>74</v>
      </c>
      <c r="U23" t="s">
        <v>74</v>
      </c>
      <c r="V23" t="s">
        <v>74</v>
      </c>
      <c r="W23" t="s">
        <v>291</v>
      </c>
      <c r="X23" t="s">
        <v>292</v>
      </c>
      <c r="Y23" t="s">
        <v>74</v>
      </c>
      <c r="Z23" t="s">
        <v>293</v>
      </c>
      <c r="AA23" t="s">
        <v>294</v>
      </c>
      <c r="AB23" t="s">
        <v>74</v>
      </c>
      <c r="AC23" t="s">
        <v>74</v>
      </c>
      <c r="AD23" t="s">
        <v>74</v>
      </c>
      <c r="AE23" t="s">
        <v>74</v>
      </c>
      <c r="AF23" t="s">
        <v>74</v>
      </c>
      <c r="AG23">
        <v>3</v>
      </c>
      <c r="AH23">
        <v>0</v>
      </c>
      <c r="AI23">
        <v>0</v>
      </c>
      <c r="AJ23">
        <v>0</v>
      </c>
      <c r="AK23">
        <v>2</v>
      </c>
      <c r="AL23" t="s">
        <v>109</v>
      </c>
      <c r="AM23" t="s">
        <v>110</v>
      </c>
      <c r="AN23" t="s">
        <v>111</v>
      </c>
      <c r="AO23" t="s">
        <v>91</v>
      </c>
      <c r="AP23" t="s">
        <v>74</v>
      </c>
      <c r="AQ23" t="s">
        <v>74</v>
      </c>
      <c r="AR23" t="s">
        <v>93</v>
      </c>
      <c r="AS23" t="s">
        <v>94</v>
      </c>
      <c r="AT23" t="s">
        <v>95</v>
      </c>
      <c r="AU23">
        <v>2008</v>
      </c>
      <c r="AV23">
        <v>43</v>
      </c>
      <c r="AW23">
        <v>7</v>
      </c>
      <c r="AX23" t="s">
        <v>74</v>
      </c>
      <c r="AY23" t="s">
        <v>96</v>
      </c>
      <c r="AZ23" t="s">
        <v>74</v>
      </c>
      <c r="BA23" t="s">
        <v>74</v>
      </c>
      <c r="BB23" t="s">
        <v>295</v>
      </c>
      <c r="BC23" t="s">
        <v>295</v>
      </c>
      <c r="BD23" t="s">
        <v>74</v>
      </c>
      <c r="BE23" t="s">
        <v>74</v>
      </c>
      <c r="BF23" t="s">
        <v>74</v>
      </c>
      <c r="BG23" t="s">
        <v>74</v>
      </c>
      <c r="BH23" t="s">
        <v>74</v>
      </c>
      <c r="BI23">
        <v>1</v>
      </c>
      <c r="BJ23" t="s">
        <v>98</v>
      </c>
      <c r="BK23" t="s">
        <v>113</v>
      </c>
      <c r="BL23" t="s">
        <v>98</v>
      </c>
      <c r="BM23" t="s">
        <v>100</v>
      </c>
      <c r="BN23" t="s">
        <v>74</v>
      </c>
      <c r="BO23" t="s">
        <v>74</v>
      </c>
      <c r="BP23" t="s">
        <v>74</v>
      </c>
      <c r="BQ23" t="s">
        <v>74</v>
      </c>
      <c r="BR23" t="s">
        <v>101</v>
      </c>
      <c r="BS23" t="s">
        <v>296</v>
      </c>
      <c r="BT23" t="str">
        <f>HYPERLINK("https%3A%2F%2Fwww.webofscience.com%2Fwos%2Fwoscc%2Ffull-record%2FWOS:000257683100051","View Full Record in Web of Science")</f>
        <v>View Full Record in Web of Science</v>
      </c>
    </row>
    <row r="24" spans="1:72" x14ac:dyDescent="0.15">
      <c r="A24" t="s">
        <v>72</v>
      </c>
      <c r="B24" t="s">
        <v>297</v>
      </c>
      <c r="C24" t="s">
        <v>74</v>
      </c>
      <c r="D24" t="s">
        <v>74</v>
      </c>
      <c r="E24" t="s">
        <v>74</v>
      </c>
      <c r="F24" t="s">
        <v>298</v>
      </c>
      <c r="G24" t="s">
        <v>74</v>
      </c>
      <c r="H24" t="s">
        <v>74</v>
      </c>
      <c r="I24" t="s">
        <v>299</v>
      </c>
      <c r="J24" t="s">
        <v>77</v>
      </c>
      <c r="K24" t="s">
        <v>74</v>
      </c>
      <c r="L24" t="s">
        <v>74</v>
      </c>
      <c r="M24" t="s">
        <v>78</v>
      </c>
      <c r="N24" t="s">
        <v>52</v>
      </c>
      <c r="O24" t="s">
        <v>79</v>
      </c>
      <c r="P24" t="s">
        <v>80</v>
      </c>
      <c r="Q24" t="s">
        <v>81</v>
      </c>
      <c r="R24" t="s">
        <v>74</v>
      </c>
      <c r="S24" t="s">
        <v>82</v>
      </c>
      <c r="T24" t="s">
        <v>74</v>
      </c>
      <c r="U24" t="s">
        <v>74</v>
      </c>
      <c r="V24" t="s">
        <v>74</v>
      </c>
      <c r="W24" t="s">
        <v>74</v>
      </c>
      <c r="X24" t="s">
        <v>74</v>
      </c>
      <c r="Y24" t="s">
        <v>74</v>
      </c>
      <c r="Z24" t="s">
        <v>74</v>
      </c>
      <c r="AA24" t="s">
        <v>74</v>
      </c>
      <c r="AB24" t="s">
        <v>74</v>
      </c>
      <c r="AC24" t="s">
        <v>74</v>
      </c>
      <c r="AD24" t="s">
        <v>74</v>
      </c>
      <c r="AE24" t="s">
        <v>74</v>
      </c>
      <c r="AF24" t="s">
        <v>74</v>
      </c>
      <c r="AG24">
        <v>0</v>
      </c>
      <c r="AH24">
        <v>0</v>
      </c>
      <c r="AI24">
        <v>0</v>
      </c>
      <c r="AJ24">
        <v>0</v>
      </c>
      <c r="AK24">
        <v>0</v>
      </c>
      <c r="AL24" t="s">
        <v>109</v>
      </c>
      <c r="AM24" t="s">
        <v>110</v>
      </c>
      <c r="AN24" t="s">
        <v>111</v>
      </c>
      <c r="AO24" t="s">
        <v>91</v>
      </c>
      <c r="AP24" t="s">
        <v>74</v>
      </c>
      <c r="AQ24" t="s">
        <v>74</v>
      </c>
      <c r="AR24" t="s">
        <v>93</v>
      </c>
      <c r="AS24" t="s">
        <v>94</v>
      </c>
      <c r="AT24" t="s">
        <v>95</v>
      </c>
      <c r="AU24">
        <v>2008</v>
      </c>
      <c r="AV24">
        <v>43</v>
      </c>
      <c r="AW24">
        <v>7</v>
      </c>
      <c r="AX24" t="s">
        <v>74</v>
      </c>
      <c r="AY24" t="s">
        <v>96</v>
      </c>
      <c r="AZ24" t="s">
        <v>74</v>
      </c>
      <c r="BA24" t="s">
        <v>74</v>
      </c>
      <c r="BB24" t="s">
        <v>300</v>
      </c>
      <c r="BC24" t="s">
        <v>300</v>
      </c>
      <c r="BD24" t="s">
        <v>74</v>
      </c>
      <c r="BE24" t="s">
        <v>74</v>
      </c>
      <c r="BF24" t="s">
        <v>74</v>
      </c>
      <c r="BG24" t="s">
        <v>74</v>
      </c>
      <c r="BH24" t="s">
        <v>74</v>
      </c>
      <c r="BI24">
        <v>1</v>
      </c>
      <c r="BJ24" t="s">
        <v>98</v>
      </c>
      <c r="BK24" t="s">
        <v>113</v>
      </c>
      <c r="BL24" t="s">
        <v>98</v>
      </c>
      <c r="BM24" t="s">
        <v>100</v>
      </c>
      <c r="BN24" t="s">
        <v>74</v>
      </c>
      <c r="BO24" t="s">
        <v>74</v>
      </c>
      <c r="BP24" t="s">
        <v>74</v>
      </c>
      <c r="BQ24" t="s">
        <v>74</v>
      </c>
      <c r="BR24" t="s">
        <v>101</v>
      </c>
      <c r="BS24" t="s">
        <v>301</v>
      </c>
      <c r="BT24" t="str">
        <f>HYPERLINK("https%3A%2F%2Fwww.webofscience.com%2Fwos%2Fwoscc%2Ffull-record%2FWOS:000257683100213","View Full Record in Web of Science")</f>
        <v>View Full Record in Web of Science</v>
      </c>
    </row>
    <row r="25" spans="1:72" x14ac:dyDescent="0.15">
      <c r="A25" t="s">
        <v>72</v>
      </c>
      <c r="B25" t="s">
        <v>302</v>
      </c>
      <c r="C25" t="s">
        <v>74</v>
      </c>
      <c r="D25" t="s">
        <v>74</v>
      </c>
      <c r="E25" t="s">
        <v>74</v>
      </c>
      <c r="F25" t="s">
        <v>303</v>
      </c>
      <c r="G25" t="s">
        <v>74</v>
      </c>
      <c r="H25" t="s">
        <v>74</v>
      </c>
      <c r="I25" t="s">
        <v>304</v>
      </c>
      <c r="J25" t="s">
        <v>77</v>
      </c>
      <c r="K25" t="s">
        <v>74</v>
      </c>
      <c r="L25" t="s">
        <v>74</v>
      </c>
      <c r="M25" t="s">
        <v>78</v>
      </c>
      <c r="N25" t="s">
        <v>52</v>
      </c>
      <c r="O25" t="s">
        <v>79</v>
      </c>
      <c r="P25" t="s">
        <v>80</v>
      </c>
      <c r="Q25" t="s">
        <v>81</v>
      </c>
      <c r="R25" t="s">
        <v>74</v>
      </c>
      <c r="S25" t="s">
        <v>82</v>
      </c>
      <c r="T25" t="s">
        <v>74</v>
      </c>
      <c r="U25" t="s">
        <v>74</v>
      </c>
      <c r="V25" t="s">
        <v>74</v>
      </c>
      <c r="W25" t="s">
        <v>305</v>
      </c>
      <c r="X25" t="s">
        <v>306</v>
      </c>
      <c r="Y25" t="s">
        <v>74</v>
      </c>
      <c r="Z25" t="s">
        <v>307</v>
      </c>
      <c r="AA25" t="s">
        <v>74</v>
      </c>
      <c r="AB25" t="s">
        <v>74</v>
      </c>
      <c r="AC25" t="s">
        <v>74</v>
      </c>
      <c r="AD25" t="s">
        <v>74</v>
      </c>
      <c r="AE25" t="s">
        <v>74</v>
      </c>
      <c r="AF25" t="s">
        <v>74</v>
      </c>
      <c r="AG25">
        <v>4</v>
      </c>
      <c r="AH25">
        <v>0</v>
      </c>
      <c r="AI25">
        <v>0</v>
      </c>
      <c r="AJ25">
        <v>0</v>
      </c>
      <c r="AK25">
        <v>0</v>
      </c>
      <c r="AL25" t="s">
        <v>109</v>
      </c>
      <c r="AM25" t="s">
        <v>110</v>
      </c>
      <c r="AN25" t="s">
        <v>111</v>
      </c>
      <c r="AO25" t="s">
        <v>91</v>
      </c>
      <c r="AP25" t="s">
        <v>74</v>
      </c>
      <c r="AQ25" t="s">
        <v>74</v>
      </c>
      <c r="AR25" t="s">
        <v>93</v>
      </c>
      <c r="AS25" t="s">
        <v>94</v>
      </c>
      <c r="AT25" t="s">
        <v>95</v>
      </c>
      <c r="AU25">
        <v>2008</v>
      </c>
      <c r="AV25">
        <v>43</v>
      </c>
      <c r="AW25">
        <v>7</v>
      </c>
      <c r="AX25" t="s">
        <v>74</v>
      </c>
      <c r="AY25" t="s">
        <v>96</v>
      </c>
      <c r="AZ25" t="s">
        <v>74</v>
      </c>
      <c r="BA25" t="s">
        <v>74</v>
      </c>
      <c r="BB25" t="s">
        <v>295</v>
      </c>
      <c r="BC25" t="s">
        <v>295</v>
      </c>
      <c r="BD25" t="s">
        <v>74</v>
      </c>
      <c r="BE25" t="s">
        <v>74</v>
      </c>
      <c r="BF25" t="s">
        <v>74</v>
      </c>
      <c r="BG25" t="s">
        <v>74</v>
      </c>
      <c r="BH25" t="s">
        <v>74</v>
      </c>
      <c r="BI25">
        <v>1</v>
      </c>
      <c r="BJ25" t="s">
        <v>98</v>
      </c>
      <c r="BK25" t="s">
        <v>113</v>
      </c>
      <c r="BL25" t="s">
        <v>98</v>
      </c>
      <c r="BM25" t="s">
        <v>100</v>
      </c>
      <c r="BN25" t="s">
        <v>74</v>
      </c>
      <c r="BO25" t="s">
        <v>74</v>
      </c>
      <c r="BP25" t="s">
        <v>74</v>
      </c>
      <c r="BQ25" t="s">
        <v>74</v>
      </c>
      <c r="BR25" t="s">
        <v>101</v>
      </c>
      <c r="BS25" t="s">
        <v>308</v>
      </c>
      <c r="BT25" t="str">
        <f>HYPERLINK("https%3A%2F%2Fwww.webofscience.com%2Fwos%2Fwoscc%2Ffull-record%2FWOS:000257683100052","View Full Record in Web of Science")</f>
        <v>View Full Record in Web of Science</v>
      </c>
    </row>
    <row r="26" spans="1:72" x14ac:dyDescent="0.15">
      <c r="A26" t="s">
        <v>72</v>
      </c>
      <c r="B26" t="s">
        <v>309</v>
      </c>
      <c r="C26" t="s">
        <v>74</v>
      </c>
      <c r="D26" t="s">
        <v>74</v>
      </c>
      <c r="E26" t="s">
        <v>74</v>
      </c>
      <c r="F26" t="s">
        <v>310</v>
      </c>
      <c r="G26" t="s">
        <v>74</v>
      </c>
      <c r="H26" t="s">
        <v>74</v>
      </c>
      <c r="I26" t="s">
        <v>311</v>
      </c>
      <c r="J26" t="s">
        <v>77</v>
      </c>
      <c r="K26" t="s">
        <v>74</v>
      </c>
      <c r="L26" t="s">
        <v>74</v>
      </c>
      <c r="M26" t="s">
        <v>78</v>
      </c>
      <c r="N26" t="s">
        <v>52</v>
      </c>
      <c r="O26" t="s">
        <v>79</v>
      </c>
      <c r="P26" t="s">
        <v>80</v>
      </c>
      <c r="Q26" t="s">
        <v>81</v>
      </c>
      <c r="R26" t="s">
        <v>74</v>
      </c>
      <c r="S26" t="s">
        <v>82</v>
      </c>
      <c r="T26" t="s">
        <v>74</v>
      </c>
      <c r="U26" t="s">
        <v>74</v>
      </c>
      <c r="V26" t="s">
        <v>74</v>
      </c>
      <c r="W26" t="s">
        <v>312</v>
      </c>
      <c r="X26" t="s">
        <v>313</v>
      </c>
      <c r="Y26" t="s">
        <v>74</v>
      </c>
      <c r="Z26" t="s">
        <v>314</v>
      </c>
      <c r="AA26" t="s">
        <v>86</v>
      </c>
      <c r="AB26" t="s">
        <v>87</v>
      </c>
      <c r="AC26" t="s">
        <v>74</v>
      </c>
      <c r="AD26" t="s">
        <v>74</v>
      </c>
      <c r="AE26" t="s">
        <v>74</v>
      </c>
      <c r="AF26" t="s">
        <v>74</v>
      </c>
      <c r="AG26">
        <v>6</v>
      </c>
      <c r="AH26">
        <v>3</v>
      </c>
      <c r="AI26">
        <v>3</v>
      </c>
      <c r="AJ26">
        <v>0</v>
      </c>
      <c r="AK26">
        <v>3</v>
      </c>
      <c r="AL26" t="s">
        <v>149</v>
      </c>
      <c r="AM26" t="s">
        <v>150</v>
      </c>
      <c r="AN26" t="s">
        <v>151</v>
      </c>
      <c r="AO26" t="s">
        <v>91</v>
      </c>
      <c r="AP26" t="s">
        <v>74</v>
      </c>
      <c r="AQ26" t="s">
        <v>74</v>
      </c>
      <c r="AR26" t="s">
        <v>93</v>
      </c>
      <c r="AS26" t="s">
        <v>94</v>
      </c>
      <c r="AT26" t="s">
        <v>95</v>
      </c>
      <c r="AU26">
        <v>2008</v>
      </c>
      <c r="AV26">
        <v>43</v>
      </c>
      <c r="AW26">
        <v>7</v>
      </c>
      <c r="AX26" t="s">
        <v>74</v>
      </c>
      <c r="AY26" t="s">
        <v>96</v>
      </c>
      <c r="AZ26" t="s">
        <v>74</v>
      </c>
      <c r="BA26" t="s">
        <v>74</v>
      </c>
      <c r="BB26" t="s">
        <v>315</v>
      </c>
      <c r="BC26" t="s">
        <v>315</v>
      </c>
      <c r="BD26" t="s">
        <v>74</v>
      </c>
      <c r="BE26" t="s">
        <v>74</v>
      </c>
      <c r="BF26" t="s">
        <v>74</v>
      </c>
      <c r="BG26" t="s">
        <v>74</v>
      </c>
      <c r="BH26" t="s">
        <v>74</v>
      </c>
      <c r="BI26">
        <v>1</v>
      </c>
      <c r="BJ26" t="s">
        <v>98</v>
      </c>
      <c r="BK26" t="s">
        <v>99</v>
      </c>
      <c r="BL26" t="s">
        <v>98</v>
      </c>
      <c r="BM26" t="s">
        <v>100</v>
      </c>
      <c r="BN26" t="s">
        <v>74</v>
      </c>
      <c r="BO26" t="s">
        <v>74</v>
      </c>
      <c r="BP26" t="s">
        <v>74</v>
      </c>
      <c r="BQ26" t="s">
        <v>74</v>
      </c>
      <c r="BR26" t="s">
        <v>101</v>
      </c>
      <c r="BS26" t="s">
        <v>316</v>
      </c>
      <c r="BT26" t="str">
        <f>HYPERLINK("https%3A%2F%2Fwww.webofscience.com%2Fwos%2Fwoscc%2Ffull-record%2FWOS:000257683100053","View Full Record in Web of Science")</f>
        <v>View Full Record in Web of Science</v>
      </c>
    </row>
    <row r="27" spans="1:72" x14ac:dyDescent="0.15">
      <c r="A27" t="s">
        <v>72</v>
      </c>
      <c r="B27" t="s">
        <v>317</v>
      </c>
      <c r="C27" t="s">
        <v>74</v>
      </c>
      <c r="D27" t="s">
        <v>74</v>
      </c>
      <c r="E27" t="s">
        <v>74</v>
      </c>
      <c r="F27" t="s">
        <v>318</v>
      </c>
      <c r="G27" t="s">
        <v>74</v>
      </c>
      <c r="H27" t="s">
        <v>74</v>
      </c>
      <c r="I27" t="s">
        <v>319</v>
      </c>
      <c r="J27" t="s">
        <v>77</v>
      </c>
      <c r="K27" t="s">
        <v>74</v>
      </c>
      <c r="L27" t="s">
        <v>74</v>
      </c>
      <c r="M27" t="s">
        <v>78</v>
      </c>
      <c r="N27" t="s">
        <v>52</v>
      </c>
      <c r="O27" t="s">
        <v>79</v>
      </c>
      <c r="P27" t="s">
        <v>80</v>
      </c>
      <c r="Q27" t="s">
        <v>81</v>
      </c>
      <c r="R27" t="s">
        <v>74</v>
      </c>
      <c r="S27" t="s">
        <v>82</v>
      </c>
      <c r="T27" t="s">
        <v>74</v>
      </c>
      <c r="U27" t="s">
        <v>320</v>
      </c>
      <c r="V27" t="s">
        <v>74</v>
      </c>
      <c r="W27" t="s">
        <v>321</v>
      </c>
      <c r="X27" t="s">
        <v>322</v>
      </c>
      <c r="Y27" t="s">
        <v>74</v>
      </c>
      <c r="Z27" t="s">
        <v>323</v>
      </c>
      <c r="AA27" t="s">
        <v>324</v>
      </c>
      <c r="AB27" t="s">
        <v>74</v>
      </c>
      <c r="AC27" t="s">
        <v>74</v>
      </c>
      <c r="AD27" t="s">
        <v>74</v>
      </c>
      <c r="AE27" t="s">
        <v>74</v>
      </c>
      <c r="AF27" t="s">
        <v>74</v>
      </c>
      <c r="AG27">
        <v>6</v>
      </c>
      <c r="AH27">
        <v>0</v>
      </c>
      <c r="AI27">
        <v>0</v>
      </c>
      <c r="AJ27">
        <v>0</v>
      </c>
      <c r="AK27">
        <v>0</v>
      </c>
      <c r="AL27" t="s">
        <v>149</v>
      </c>
      <c r="AM27" t="s">
        <v>150</v>
      </c>
      <c r="AN27" t="s">
        <v>151</v>
      </c>
      <c r="AO27" t="s">
        <v>91</v>
      </c>
      <c r="AP27" t="s">
        <v>74</v>
      </c>
      <c r="AQ27" t="s">
        <v>74</v>
      </c>
      <c r="AR27" t="s">
        <v>93</v>
      </c>
      <c r="AS27" t="s">
        <v>94</v>
      </c>
      <c r="AT27" t="s">
        <v>95</v>
      </c>
      <c r="AU27">
        <v>2008</v>
      </c>
      <c r="AV27">
        <v>43</v>
      </c>
      <c r="AW27">
        <v>7</v>
      </c>
      <c r="AX27" t="s">
        <v>74</v>
      </c>
      <c r="AY27" t="s">
        <v>96</v>
      </c>
      <c r="AZ27" t="s">
        <v>74</v>
      </c>
      <c r="BA27" t="s">
        <v>74</v>
      </c>
      <c r="BB27" t="s">
        <v>315</v>
      </c>
      <c r="BC27" t="s">
        <v>315</v>
      </c>
      <c r="BD27" t="s">
        <v>74</v>
      </c>
      <c r="BE27" t="s">
        <v>74</v>
      </c>
      <c r="BF27" t="s">
        <v>74</v>
      </c>
      <c r="BG27" t="s">
        <v>74</v>
      </c>
      <c r="BH27" t="s">
        <v>74</v>
      </c>
      <c r="BI27">
        <v>1</v>
      </c>
      <c r="BJ27" t="s">
        <v>98</v>
      </c>
      <c r="BK27" t="s">
        <v>99</v>
      </c>
      <c r="BL27" t="s">
        <v>98</v>
      </c>
      <c r="BM27" t="s">
        <v>100</v>
      </c>
      <c r="BN27" t="s">
        <v>74</v>
      </c>
      <c r="BO27" t="s">
        <v>74</v>
      </c>
      <c r="BP27" t="s">
        <v>74</v>
      </c>
      <c r="BQ27" t="s">
        <v>74</v>
      </c>
      <c r="BR27" t="s">
        <v>101</v>
      </c>
      <c r="BS27" t="s">
        <v>325</v>
      </c>
      <c r="BT27" t="str">
        <f>HYPERLINK("https%3A%2F%2Fwww.webofscience.com%2Fwos%2Fwoscc%2Ffull-record%2FWOS:000257683100054","View Full Record in Web of Science")</f>
        <v>View Full Record in Web of Science</v>
      </c>
    </row>
    <row r="28" spans="1:72" x14ac:dyDescent="0.15">
      <c r="A28" t="s">
        <v>72</v>
      </c>
      <c r="B28" t="s">
        <v>326</v>
      </c>
      <c r="C28" t="s">
        <v>74</v>
      </c>
      <c r="D28" t="s">
        <v>74</v>
      </c>
      <c r="E28" t="s">
        <v>74</v>
      </c>
      <c r="F28" t="s">
        <v>327</v>
      </c>
      <c r="G28" t="s">
        <v>74</v>
      </c>
      <c r="H28" t="s">
        <v>74</v>
      </c>
      <c r="I28" t="s">
        <v>328</v>
      </c>
      <c r="J28" t="s">
        <v>77</v>
      </c>
      <c r="K28" t="s">
        <v>74</v>
      </c>
      <c r="L28" t="s">
        <v>74</v>
      </c>
      <c r="M28" t="s">
        <v>78</v>
      </c>
      <c r="N28" t="s">
        <v>52</v>
      </c>
      <c r="O28" t="s">
        <v>79</v>
      </c>
      <c r="P28" t="s">
        <v>80</v>
      </c>
      <c r="Q28" t="s">
        <v>81</v>
      </c>
      <c r="R28" t="s">
        <v>74</v>
      </c>
      <c r="S28" t="s">
        <v>82</v>
      </c>
      <c r="T28" t="s">
        <v>74</v>
      </c>
      <c r="U28" t="s">
        <v>329</v>
      </c>
      <c r="V28" t="s">
        <v>74</v>
      </c>
      <c r="W28" t="s">
        <v>330</v>
      </c>
      <c r="X28" t="s">
        <v>331</v>
      </c>
      <c r="Y28" t="s">
        <v>74</v>
      </c>
      <c r="Z28" t="s">
        <v>323</v>
      </c>
      <c r="AA28" t="s">
        <v>324</v>
      </c>
      <c r="AB28" t="s">
        <v>74</v>
      </c>
      <c r="AC28" t="s">
        <v>332</v>
      </c>
      <c r="AD28" t="s">
        <v>333</v>
      </c>
      <c r="AE28" t="s">
        <v>74</v>
      </c>
      <c r="AF28" t="s">
        <v>74</v>
      </c>
      <c r="AG28">
        <v>4</v>
      </c>
      <c r="AH28">
        <v>0</v>
      </c>
      <c r="AI28">
        <v>0</v>
      </c>
      <c r="AJ28">
        <v>0</v>
      </c>
      <c r="AK28">
        <v>4</v>
      </c>
      <c r="AL28" t="s">
        <v>149</v>
      </c>
      <c r="AM28" t="s">
        <v>89</v>
      </c>
      <c r="AN28" t="s">
        <v>90</v>
      </c>
      <c r="AO28" t="s">
        <v>91</v>
      </c>
      <c r="AP28" t="s">
        <v>74</v>
      </c>
      <c r="AQ28" t="s">
        <v>74</v>
      </c>
      <c r="AR28" t="s">
        <v>93</v>
      </c>
      <c r="AS28" t="s">
        <v>94</v>
      </c>
      <c r="AT28" t="s">
        <v>95</v>
      </c>
      <c r="AU28">
        <v>2008</v>
      </c>
      <c r="AV28">
        <v>43</v>
      </c>
      <c r="AW28">
        <v>7</v>
      </c>
      <c r="AX28" t="s">
        <v>74</v>
      </c>
      <c r="AY28" t="s">
        <v>96</v>
      </c>
      <c r="AZ28" t="s">
        <v>74</v>
      </c>
      <c r="BA28" t="s">
        <v>74</v>
      </c>
      <c r="BB28" t="s">
        <v>334</v>
      </c>
      <c r="BC28" t="s">
        <v>334</v>
      </c>
      <c r="BD28" t="s">
        <v>74</v>
      </c>
      <c r="BE28" t="s">
        <v>74</v>
      </c>
      <c r="BF28" t="s">
        <v>74</v>
      </c>
      <c r="BG28" t="s">
        <v>74</v>
      </c>
      <c r="BH28" t="s">
        <v>74</v>
      </c>
      <c r="BI28">
        <v>1</v>
      </c>
      <c r="BJ28" t="s">
        <v>98</v>
      </c>
      <c r="BK28" t="s">
        <v>99</v>
      </c>
      <c r="BL28" t="s">
        <v>98</v>
      </c>
      <c r="BM28" t="s">
        <v>100</v>
      </c>
      <c r="BN28" t="s">
        <v>74</v>
      </c>
      <c r="BO28" t="s">
        <v>74</v>
      </c>
      <c r="BP28" t="s">
        <v>74</v>
      </c>
      <c r="BQ28" t="s">
        <v>74</v>
      </c>
      <c r="BR28" t="s">
        <v>101</v>
      </c>
      <c r="BS28" t="s">
        <v>335</v>
      </c>
      <c r="BT28" t="str">
        <f>HYPERLINK("https%3A%2F%2Fwww.webofscience.com%2Fwos%2Fwoscc%2Ffull-record%2FWOS:000257683100055","View Full Record in Web of Science")</f>
        <v>View Full Record in Web of Science</v>
      </c>
    </row>
    <row r="29" spans="1:72" x14ac:dyDescent="0.15">
      <c r="A29" t="s">
        <v>72</v>
      </c>
      <c r="B29" t="s">
        <v>336</v>
      </c>
      <c r="C29" t="s">
        <v>74</v>
      </c>
      <c r="D29" t="s">
        <v>74</v>
      </c>
      <c r="E29" t="s">
        <v>74</v>
      </c>
      <c r="F29" t="s">
        <v>337</v>
      </c>
      <c r="G29" t="s">
        <v>74</v>
      </c>
      <c r="H29" t="s">
        <v>74</v>
      </c>
      <c r="I29" t="s">
        <v>338</v>
      </c>
      <c r="J29" t="s">
        <v>77</v>
      </c>
      <c r="K29" t="s">
        <v>74</v>
      </c>
      <c r="L29" t="s">
        <v>74</v>
      </c>
      <c r="M29" t="s">
        <v>78</v>
      </c>
      <c r="N29" t="s">
        <v>52</v>
      </c>
      <c r="O29" t="s">
        <v>79</v>
      </c>
      <c r="P29" t="s">
        <v>80</v>
      </c>
      <c r="Q29" t="s">
        <v>81</v>
      </c>
      <c r="R29" t="s">
        <v>74</v>
      </c>
      <c r="S29" t="s">
        <v>82</v>
      </c>
      <c r="T29" t="s">
        <v>74</v>
      </c>
      <c r="U29" t="s">
        <v>74</v>
      </c>
      <c r="V29" t="s">
        <v>74</v>
      </c>
      <c r="W29" t="s">
        <v>339</v>
      </c>
      <c r="X29" t="s">
        <v>340</v>
      </c>
      <c r="Y29" t="s">
        <v>74</v>
      </c>
      <c r="Z29" t="s">
        <v>341</v>
      </c>
      <c r="AA29" t="s">
        <v>74</v>
      </c>
      <c r="AB29" t="s">
        <v>74</v>
      </c>
      <c r="AC29" t="s">
        <v>74</v>
      </c>
      <c r="AD29" t="s">
        <v>74</v>
      </c>
      <c r="AE29" t="s">
        <v>74</v>
      </c>
      <c r="AF29" t="s">
        <v>74</v>
      </c>
      <c r="AG29">
        <v>4</v>
      </c>
      <c r="AH29">
        <v>0</v>
      </c>
      <c r="AI29">
        <v>0</v>
      </c>
      <c r="AJ29">
        <v>0</v>
      </c>
      <c r="AK29">
        <v>0</v>
      </c>
      <c r="AL29" t="s">
        <v>88</v>
      </c>
      <c r="AM29" t="s">
        <v>89</v>
      </c>
      <c r="AN29" t="s">
        <v>90</v>
      </c>
      <c r="AO29" t="s">
        <v>91</v>
      </c>
      <c r="AP29" t="s">
        <v>92</v>
      </c>
      <c r="AQ29" t="s">
        <v>74</v>
      </c>
      <c r="AR29" t="s">
        <v>93</v>
      </c>
      <c r="AS29" t="s">
        <v>94</v>
      </c>
      <c r="AT29" t="s">
        <v>95</v>
      </c>
      <c r="AU29">
        <v>2008</v>
      </c>
      <c r="AV29">
        <v>43</v>
      </c>
      <c r="AW29">
        <v>7</v>
      </c>
      <c r="AX29" t="s">
        <v>74</v>
      </c>
      <c r="AY29" t="s">
        <v>96</v>
      </c>
      <c r="AZ29" t="s">
        <v>74</v>
      </c>
      <c r="BA29" t="s">
        <v>74</v>
      </c>
      <c r="BB29" t="s">
        <v>334</v>
      </c>
      <c r="BC29" t="s">
        <v>334</v>
      </c>
      <c r="BD29" t="s">
        <v>74</v>
      </c>
      <c r="BE29" t="s">
        <v>74</v>
      </c>
      <c r="BF29" t="s">
        <v>74</v>
      </c>
      <c r="BG29" t="s">
        <v>74</v>
      </c>
      <c r="BH29" t="s">
        <v>74</v>
      </c>
      <c r="BI29">
        <v>1</v>
      </c>
      <c r="BJ29" t="s">
        <v>98</v>
      </c>
      <c r="BK29" t="s">
        <v>99</v>
      </c>
      <c r="BL29" t="s">
        <v>98</v>
      </c>
      <c r="BM29" t="s">
        <v>100</v>
      </c>
      <c r="BN29" t="s">
        <v>74</v>
      </c>
      <c r="BO29" t="s">
        <v>74</v>
      </c>
      <c r="BP29" t="s">
        <v>74</v>
      </c>
      <c r="BQ29" t="s">
        <v>74</v>
      </c>
      <c r="BR29" t="s">
        <v>101</v>
      </c>
      <c r="BS29" t="s">
        <v>342</v>
      </c>
      <c r="BT29" t="str">
        <f>HYPERLINK("https%3A%2F%2Fwww.webofscience.com%2Fwos%2Fwoscc%2Ffull-record%2FWOS:000257683100056","View Full Record in Web of Science")</f>
        <v>View Full Record in Web of Science</v>
      </c>
    </row>
    <row r="30" spans="1:72" x14ac:dyDescent="0.15">
      <c r="A30" t="s">
        <v>72</v>
      </c>
      <c r="B30" t="s">
        <v>343</v>
      </c>
      <c r="C30" t="s">
        <v>74</v>
      </c>
      <c r="D30" t="s">
        <v>74</v>
      </c>
      <c r="E30" t="s">
        <v>74</v>
      </c>
      <c r="F30" t="s">
        <v>344</v>
      </c>
      <c r="G30" t="s">
        <v>74</v>
      </c>
      <c r="H30" t="s">
        <v>74</v>
      </c>
      <c r="I30" t="s">
        <v>345</v>
      </c>
      <c r="J30" t="s">
        <v>77</v>
      </c>
      <c r="K30" t="s">
        <v>74</v>
      </c>
      <c r="L30" t="s">
        <v>74</v>
      </c>
      <c r="M30" t="s">
        <v>78</v>
      </c>
      <c r="N30" t="s">
        <v>52</v>
      </c>
      <c r="O30" t="s">
        <v>79</v>
      </c>
      <c r="P30" t="s">
        <v>80</v>
      </c>
      <c r="Q30" t="s">
        <v>81</v>
      </c>
      <c r="R30" t="s">
        <v>74</v>
      </c>
      <c r="S30" t="s">
        <v>82</v>
      </c>
      <c r="T30" t="s">
        <v>74</v>
      </c>
      <c r="U30" t="s">
        <v>74</v>
      </c>
      <c r="V30" t="s">
        <v>74</v>
      </c>
      <c r="W30" t="s">
        <v>346</v>
      </c>
      <c r="X30" t="s">
        <v>347</v>
      </c>
      <c r="Y30" t="s">
        <v>74</v>
      </c>
      <c r="Z30" t="s">
        <v>348</v>
      </c>
      <c r="AA30" t="s">
        <v>74</v>
      </c>
      <c r="AB30" t="s">
        <v>74</v>
      </c>
      <c r="AC30" t="s">
        <v>74</v>
      </c>
      <c r="AD30" t="s">
        <v>74</v>
      </c>
      <c r="AE30" t="s">
        <v>74</v>
      </c>
      <c r="AF30" t="s">
        <v>74</v>
      </c>
      <c r="AG30">
        <v>9</v>
      </c>
      <c r="AH30">
        <v>0</v>
      </c>
      <c r="AI30">
        <v>0</v>
      </c>
      <c r="AJ30">
        <v>0</v>
      </c>
      <c r="AK30">
        <v>0</v>
      </c>
      <c r="AL30" t="s">
        <v>88</v>
      </c>
      <c r="AM30" t="s">
        <v>89</v>
      </c>
      <c r="AN30" t="s">
        <v>90</v>
      </c>
      <c r="AO30" t="s">
        <v>91</v>
      </c>
      <c r="AP30" t="s">
        <v>92</v>
      </c>
      <c r="AQ30" t="s">
        <v>74</v>
      </c>
      <c r="AR30" t="s">
        <v>93</v>
      </c>
      <c r="AS30" t="s">
        <v>94</v>
      </c>
      <c r="AT30" t="s">
        <v>95</v>
      </c>
      <c r="AU30">
        <v>2008</v>
      </c>
      <c r="AV30">
        <v>43</v>
      </c>
      <c r="AW30">
        <v>7</v>
      </c>
      <c r="AX30" t="s">
        <v>74</v>
      </c>
      <c r="AY30" t="s">
        <v>96</v>
      </c>
      <c r="AZ30" t="s">
        <v>74</v>
      </c>
      <c r="BA30" t="s">
        <v>74</v>
      </c>
      <c r="BB30" t="s">
        <v>349</v>
      </c>
      <c r="BC30" t="s">
        <v>349</v>
      </c>
      <c r="BD30" t="s">
        <v>74</v>
      </c>
      <c r="BE30" t="s">
        <v>74</v>
      </c>
      <c r="BF30" t="s">
        <v>74</v>
      </c>
      <c r="BG30" t="s">
        <v>74</v>
      </c>
      <c r="BH30" t="s">
        <v>74</v>
      </c>
      <c r="BI30">
        <v>1</v>
      </c>
      <c r="BJ30" t="s">
        <v>98</v>
      </c>
      <c r="BK30" t="s">
        <v>99</v>
      </c>
      <c r="BL30" t="s">
        <v>98</v>
      </c>
      <c r="BM30" t="s">
        <v>100</v>
      </c>
      <c r="BN30" t="s">
        <v>74</v>
      </c>
      <c r="BO30" t="s">
        <v>74</v>
      </c>
      <c r="BP30" t="s">
        <v>74</v>
      </c>
      <c r="BQ30" t="s">
        <v>74</v>
      </c>
      <c r="BR30" t="s">
        <v>101</v>
      </c>
      <c r="BS30" t="s">
        <v>350</v>
      </c>
      <c r="BT30" t="str">
        <f>HYPERLINK("https%3A%2F%2Fwww.webofscience.com%2Fwos%2Fwoscc%2Ffull-record%2FWOS:000257683100057","View Full Record in Web of Science")</f>
        <v>View Full Record in Web of Science</v>
      </c>
    </row>
    <row r="31" spans="1:72" x14ac:dyDescent="0.15">
      <c r="A31" t="s">
        <v>72</v>
      </c>
      <c r="B31" t="s">
        <v>351</v>
      </c>
      <c r="C31" t="s">
        <v>74</v>
      </c>
      <c r="D31" t="s">
        <v>74</v>
      </c>
      <c r="E31" t="s">
        <v>74</v>
      </c>
      <c r="F31" t="s">
        <v>352</v>
      </c>
      <c r="G31" t="s">
        <v>74</v>
      </c>
      <c r="H31" t="s">
        <v>74</v>
      </c>
      <c r="I31" t="s">
        <v>353</v>
      </c>
      <c r="J31" t="s">
        <v>77</v>
      </c>
      <c r="K31" t="s">
        <v>74</v>
      </c>
      <c r="L31" t="s">
        <v>74</v>
      </c>
      <c r="M31" t="s">
        <v>78</v>
      </c>
      <c r="N31" t="s">
        <v>52</v>
      </c>
      <c r="O31" t="s">
        <v>79</v>
      </c>
      <c r="P31" t="s">
        <v>80</v>
      </c>
      <c r="Q31" t="s">
        <v>81</v>
      </c>
      <c r="R31" t="s">
        <v>74</v>
      </c>
      <c r="S31" t="s">
        <v>82</v>
      </c>
      <c r="T31" t="s">
        <v>74</v>
      </c>
      <c r="U31" t="s">
        <v>74</v>
      </c>
      <c r="V31" t="s">
        <v>74</v>
      </c>
      <c r="W31" t="s">
        <v>74</v>
      </c>
      <c r="X31" t="s">
        <v>74</v>
      </c>
      <c r="Y31" t="s">
        <v>74</v>
      </c>
      <c r="Z31" t="s">
        <v>354</v>
      </c>
      <c r="AA31" t="s">
        <v>74</v>
      </c>
      <c r="AB31" t="s">
        <v>74</v>
      </c>
      <c r="AC31" t="s">
        <v>74</v>
      </c>
      <c r="AD31" t="s">
        <v>74</v>
      </c>
      <c r="AE31" t="s">
        <v>74</v>
      </c>
      <c r="AF31" t="s">
        <v>74</v>
      </c>
      <c r="AG31">
        <v>4</v>
      </c>
      <c r="AH31">
        <v>0</v>
      </c>
      <c r="AI31">
        <v>0</v>
      </c>
      <c r="AJ31">
        <v>0</v>
      </c>
      <c r="AK31">
        <v>0</v>
      </c>
      <c r="AL31" t="s">
        <v>88</v>
      </c>
      <c r="AM31" t="s">
        <v>89</v>
      </c>
      <c r="AN31" t="s">
        <v>90</v>
      </c>
      <c r="AO31" t="s">
        <v>91</v>
      </c>
      <c r="AP31" t="s">
        <v>92</v>
      </c>
      <c r="AQ31" t="s">
        <v>74</v>
      </c>
      <c r="AR31" t="s">
        <v>93</v>
      </c>
      <c r="AS31" t="s">
        <v>94</v>
      </c>
      <c r="AT31" t="s">
        <v>95</v>
      </c>
      <c r="AU31">
        <v>2008</v>
      </c>
      <c r="AV31">
        <v>43</v>
      </c>
      <c r="AW31">
        <v>7</v>
      </c>
      <c r="AX31" t="s">
        <v>74</v>
      </c>
      <c r="AY31" t="s">
        <v>96</v>
      </c>
      <c r="AZ31" t="s">
        <v>74</v>
      </c>
      <c r="BA31" t="s">
        <v>74</v>
      </c>
      <c r="BB31" t="s">
        <v>349</v>
      </c>
      <c r="BC31" t="s">
        <v>349</v>
      </c>
      <c r="BD31" t="s">
        <v>74</v>
      </c>
      <c r="BE31" t="s">
        <v>74</v>
      </c>
      <c r="BF31" t="s">
        <v>74</v>
      </c>
      <c r="BG31" t="s">
        <v>74</v>
      </c>
      <c r="BH31" t="s">
        <v>74</v>
      </c>
      <c r="BI31">
        <v>1</v>
      </c>
      <c r="BJ31" t="s">
        <v>98</v>
      </c>
      <c r="BK31" t="s">
        <v>99</v>
      </c>
      <c r="BL31" t="s">
        <v>98</v>
      </c>
      <c r="BM31" t="s">
        <v>100</v>
      </c>
      <c r="BN31" t="s">
        <v>74</v>
      </c>
      <c r="BO31" t="s">
        <v>74</v>
      </c>
      <c r="BP31" t="s">
        <v>74</v>
      </c>
      <c r="BQ31" t="s">
        <v>74</v>
      </c>
      <c r="BR31" t="s">
        <v>101</v>
      </c>
      <c r="BS31" t="s">
        <v>355</v>
      </c>
      <c r="BT31" t="str">
        <f>HYPERLINK("https%3A%2F%2Fwww.webofscience.com%2Fwos%2Fwoscc%2Ffull-record%2FWOS:000257683100058","View Full Record in Web of Science")</f>
        <v>View Full Record in Web of Science</v>
      </c>
    </row>
    <row r="32" spans="1:72" x14ac:dyDescent="0.15">
      <c r="A32" t="s">
        <v>72</v>
      </c>
      <c r="B32" t="s">
        <v>356</v>
      </c>
      <c r="C32" t="s">
        <v>74</v>
      </c>
      <c r="D32" t="s">
        <v>74</v>
      </c>
      <c r="E32" t="s">
        <v>74</v>
      </c>
      <c r="F32" t="s">
        <v>357</v>
      </c>
      <c r="G32" t="s">
        <v>74</v>
      </c>
      <c r="H32" t="s">
        <v>74</v>
      </c>
      <c r="I32" t="s">
        <v>358</v>
      </c>
      <c r="J32" t="s">
        <v>77</v>
      </c>
      <c r="K32" t="s">
        <v>74</v>
      </c>
      <c r="L32" t="s">
        <v>74</v>
      </c>
      <c r="M32" t="s">
        <v>78</v>
      </c>
      <c r="N32" t="s">
        <v>52</v>
      </c>
      <c r="O32" t="s">
        <v>79</v>
      </c>
      <c r="P32" t="s">
        <v>80</v>
      </c>
      <c r="Q32" t="s">
        <v>81</v>
      </c>
      <c r="R32" t="s">
        <v>74</v>
      </c>
      <c r="S32" t="s">
        <v>82</v>
      </c>
      <c r="T32" t="s">
        <v>74</v>
      </c>
      <c r="U32" t="s">
        <v>359</v>
      </c>
      <c r="V32" t="s">
        <v>74</v>
      </c>
      <c r="W32" t="s">
        <v>360</v>
      </c>
      <c r="X32" t="s">
        <v>361</v>
      </c>
      <c r="Y32" t="s">
        <v>74</v>
      </c>
      <c r="Z32" t="s">
        <v>362</v>
      </c>
      <c r="AA32" t="s">
        <v>363</v>
      </c>
      <c r="AB32" t="s">
        <v>364</v>
      </c>
      <c r="AC32" t="s">
        <v>74</v>
      </c>
      <c r="AD32" t="s">
        <v>74</v>
      </c>
      <c r="AE32" t="s">
        <v>74</v>
      </c>
      <c r="AF32" t="s">
        <v>74</v>
      </c>
      <c r="AG32">
        <v>7</v>
      </c>
      <c r="AH32">
        <v>0</v>
      </c>
      <c r="AI32">
        <v>0</v>
      </c>
      <c r="AJ32">
        <v>0</v>
      </c>
      <c r="AK32">
        <v>2</v>
      </c>
      <c r="AL32" t="s">
        <v>88</v>
      </c>
      <c r="AM32" t="s">
        <v>89</v>
      </c>
      <c r="AN32" t="s">
        <v>90</v>
      </c>
      <c r="AO32" t="s">
        <v>91</v>
      </c>
      <c r="AP32" t="s">
        <v>92</v>
      </c>
      <c r="AQ32" t="s">
        <v>74</v>
      </c>
      <c r="AR32" t="s">
        <v>93</v>
      </c>
      <c r="AS32" t="s">
        <v>94</v>
      </c>
      <c r="AT32" t="s">
        <v>95</v>
      </c>
      <c r="AU32">
        <v>2008</v>
      </c>
      <c r="AV32">
        <v>43</v>
      </c>
      <c r="AW32">
        <v>7</v>
      </c>
      <c r="AX32" t="s">
        <v>74</v>
      </c>
      <c r="AY32" t="s">
        <v>96</v>
      </c>
      <c r="AZ32" t="s">
        <v>74</v>
      </c>
      <c r="BA32" t="s">
        <v>74</v>
      </c>
      <c r="BB32" t="s">
        <v>365</v>
      </c>
      <c r="BC32" t="s">
        <v>365</v>
      </c>
      <c r="BD32" t="s">
        <v>74</v>
      </c>
      <c r="BE32" t="s">
        <v>74</v>
      </c>
      <c r="BF32" t="s">
        <v>74</v>
      </c>
      <c r="BG32" t="s">
        <v>74</v>
      </c>
      <c r="BH32" t="s">
        <v>74</v>
      </c>
      <c r="BI32">
        <v>1</v>
      </c>
      <c r="BJ32" t="s">
        <v>98</v>
      </c>
      <c r="BK32" t="s">
        <v>99</v>
      </c>
      <c r="BL32" t="s">
        <v>98</v>
      </c>
      <c r="BM32" t="s">
        <v>100</v>
      </c>
      <c r="BN32" t="s">
        <v>74</v>
      </c>
      <c r="BO32" t="s">
        <v>74</v>
      </c>
      <c r="BP32" t="s">
        <v>74</v>
      </c>
      <c r="BQ32" t="s">
        <v>74</v>
      </c>
      <c r="BR32" t="s">
        <v>101</v>
      </c>
      <c r="BS32" t="s">
        <v>366</v>
      </c>
      <c r="BT32" t="str">
        <f>HYPERLINK("https%3A%2F%2Fwww.webofscience.com%2Fwos%2Fwoscc%2Ffull-record%2FWOS:000257683100059","View Full Record in Web of Science")</f>
        <v>View Full Record in Web of Science</v>
      </c>
    </row>
    <row r="33" spans="1:72" x14ac:dyDescent="0.15">
      <c r="A33" t="s">
        <v>72</v>
      </c>
      <c r="B33" t="s">
        <v>367</v>
      </c>
      <c r="C33" t="s">
        <v>74</v>
      </c>
      <c r="D33" t="s">
        <v>74</v>
      </c>
      <c r="E33" t="s">
        <v>74</v>
      </c>
      <c r="F33" t="s">
        <v>368</v>
      </c>
      <c r="G33" t="s">
        <v>74</v>
      </c>
      <c r="H33" t="s">
        <v>74</v>
      </c>
      <c r="I33" t="s">
        <v>369</v>
      </c>
      <c r="J33" t="s">
        <v>77</v>
      </c>
      <c r="K33" t="s">
        <v>74</v>
      </c>
      <c r="L33" t="s">
        <v>74</v>
      </c>
      <c r="M33" t="s">
        <v>78</v>
      </c>
      <c r="N33" t="s">
        <v>52</v>
      </c>
      <c r="O33" t="s">
        <v>79</v>
      </c>
      <c r="P33" t="s">
        <v>80</v>
      </c>
      <c r="Q33" t="s">
        <v>81</v>
      </c>
      <c r="R33" t="s">
        <v>74</v>
      </c>
      <c r="S33" t="s">
        <v>82</v>
      </c>
      <c r="T33" t="s">
        <v>74</v>
      </c>
      <c r="U33" t="s">
        <v>74</v>
      </c>
      <c r="V33" t="s">
        <v>74</v>
      </c>
      <c r="W33" t="s">
        <v>370</v>
      </c>
      <c r="X33" t="s">
        <v>371</v>
      </c>
      <c r="Y33" t="s">
        <v>74</v>
      </c>
      <c r="Z33" t="s">
        <v>74</v>
      </c>
      <c r="AA33" t="s">
        <v>74</v>
      </c>
      <c r="AB33" t="s">
        <v>74</v>
      </c>
      <c r="AC33" t="s">
        <v>74</v>
      </c>
      <c r="AD33" t="s">
        <v>74</v>
      </c>
      <c r="AE33" t="s">
        <v>74</v>
      </c>
      <c r="AF33" t="s">
        <v>74</v>
      </c>
      <c r="AG33">
        <v>6</v>
      </c>
      <c r="AH33">
        <v>0</v>
      </c>
      <c r="AI33">
        <v>0</v>
      </c>
      <c r="AJ33">
        <v>0</v>
      </c>
      <c r="AK33">
        <v>2</v>
      </c>
      <c r="AL33" t="s">
        <v>149</v>
      </c>
      <c r="AM33" t="s">
        <v>150</v>
      </c>
      <c r="AN33" t="s">
        <v>151</v>
      </c>
      <c r="AO33" t="s">
        <v>91</v>
      </c>
      <c r="AP33" t="s">
        <v>74</v>
      </c>
      <c r="AQ33" t="s">
        <v>74</v>
      </c>
      <c r="AR33" t="s">
        <v>93</v>
      </c>
      <c r="AS33" t="s">
        <v>94</v>
      </c>
      <c r="AT33" t="s">
        <v>95</v>
      </c>
      <c r="AU33">
        <v>2008</v>
      </c>
      <c r="AV33">
        <v>43</v>
      </c>
      <c r="AW33">
        <v>7</v>
      </c>
      <c r="AX33" t="s">
        <v>74</v>
      </c>
      <c r="AY33" t="s">
        <v>96</v>
      </c>
      <c r="AZ33" t="s">
        <v>74</v>
      </c>
      <c r="BA33" t="s">
        <v>74</v>
      </c>
      <c r="BB33" t="s">
        <v>365</v>
      </c>
      <c r="BC33" t="s">
        <v>365</v>
      </c>
      <c r="BD33" t="s">
        <v>74</v>
      </c>
      <c r="BE33" t="s">
        <v>74</v>
      </c>
      <c r="BF33" t="s">
        <v>74</v>
      </c>
      <c r="BG33" t="s">
        <v>74</v>
      </c>
      <c r="BH33" t="s">
        <v>74</v>
      </c>
      <c r="BI33">
        <v>1</v>
      </c>
      <c r="BJ33" t="s">
        <v>98</v>
      </c>
      <c r="BK33" t="s">
        <v>99</v>
      </c>
      <c r="BL33" t="s">
        <v>98</v>
      </c>
      <c r="BM33" t="s">
        <v>100</v>
      </c>
      <c r="BN33" t="s">
        <v>74</v>
      </c>
      <c r="BO33" t="s">
        <v>74</v>
      </c>
      <c r="BP33" t="s">
        <v>74</v>
      </c>
      <c r="BQ33" t="s">
        <v>74</v>
      </c>
      <c r="BR33" t="s">
        <v>101</v>
      </c>
      <c r="BS33" t="s">
        <v>372</v>
      </c>
      <c r="BT33" t="str">
        <f>HYPERLINK("https%3A%2F%2Fwww.webofscience.com%2Fwos%2Fwoscc%2Ffull-record%2FWOS:000257683100060","View Full Record in Web of Science")</f>
        <v>View Full Record in Web of Science</v>
      </c>
    </row>
    <row r="34" spans="1:72" x14ac:dyDescent="0.15">
      <c r="A34" t="s">
        <v>72</v>
      </c>
      <c r="B34" t="s">
        <v>373</v>
      </c>
      <c r="C34" t="s">
        <v>74</v>
      </c>
      <c r="D34" t="s">
        <v>74</v>
      </c>
      <c r="E34" t="s">
        <v>74</v>
      </c>
      <c r="F34" t="s">
        <v>374</v>
      </c>
      <c r="G34" t="s">
        <v>74</v>
      </c>
      <c r="H34" t="s">
        <v>74</v>
      </c>
      <c r="I34" t="s">
        <v>375</v>
      </c>
      <c r="J34" t="s">
        <v>77</v>
      </c>
      <c r="K34" t="s">
        <v>74</v>
      </c>
      <c r="L34" t="s">
        <v>74</v>
      </c>
      <c r="M34" t="s">
        <v>78</v>
      </c>
      <c r="N34" t="s">
        <v>52</v>
      </c>
      <c r="O34" t="s">
        <v>79</v>
      </c>
      <c r="P34" t="s">
        <v>80</v>
      </c>
      <c r="Q34" t="s">
        <v>81</v>
      </c>
      <c r="R34" t="s">
        <v>74</v>
      </c>
      <c r="S34" t="s">
        <v>82</v>
      </c>
      <c r="T34" t="s">
        <v>74</v>
      </c>
      <c r="U34" t="s">
        <v>74</v>
      </c>
      <c r="V34" t="s">
        <v>74</v>
      </c>
      <c r="W34" t="s">
        <v>376</v>
      </c>
      <c r="X34" t="s">
        <v>377</v>
      </c>
      <c r="Y34" t="s">
        <v>74</v>
      </c>
      <c r="Z34" t="s">
        <v>378</v>
      </c>
      <c r="AA34" t="s">
        <v>74</v>
      </c>
      <c r="AB34" t="s">
        <v>74</v>
      </c>
      <c r="AC34" t="s">
        <v>74</v>
      </c>
      <c r="AD34" t="s">
        <v>74</v>
      </c>
      <c r="AE34" t="s">
        <v>74</v>
      </c>
      <c r="AF34" t="s">
        <v>74</v>
      </c>
      <c r="AG34">
        <v>3</v>
      </c>
      <c r="AH34">
        <v>0</v>
      </c>
      <c r="AI34">
        <v>0</v>
      </c>
      <c r="AJ34">
        <v>0</v>
      </c>
      <c r="AK34">
        <v>1</v>
      </c>
      <c r="AL34" t="s">
        <v>109</v>
      </c>
      <c r="AM34" t="s">
        <v>110</v>
      </c>
      <c r="AN34" t="s">
        <v>111</v>
      </c>
      <c r="AO34" t="s">
        <v>91</v>
      </c>
      <c r="AP34" t="s">
        <v>74</v>
      </c>
      <c r="AQ34" t="s">
        <v>74</v>
      </c>
      <c r="AR34" t="s">
        <v>93</v>
      </c>
      <c r="AS34" t="s">
        <v>94</v>
      </c>
      <c r="AT34" t="s">
        <v>95</v>
      </c>
      <c r="AU34">
        <v>2008</v>
      </c>
      <c r="AV34">
        <v>43</v>
      </c>
      <c r="AW34">
        <v>7</v>
      </c>
      <c r="AX34" t="s">
        <v>74</v>
      </c>
      <c r="AY34" t="s">
        <v>96</v>
      </c>
      <c r="AZ34" t="s">
        <v>74</v>
      </c>
      <c r="BA34" t="s">
        <v>74</v>
      </c>
      <c r="BB34" t="s">
        <v>379</v>
      </c>
      <c r="BC34" t="s">
        <v>379</v>
      </c>
      <c r="BD34" t="s">
        <v>74</v>
      </c>
      <c r="BE34" t="s">
        <v>74</v>
      </c>
      <c r="BF34" t="s">
        <v>74</v>
      </c>
      <c r="BG34" t="s">
        <v>74</v>
      </c>
      <c r="BH34" t="s">
        <v>74</v>
      </c>
      <c r="BI34">
        <v>1</v>
      </c>
      <c r="BJ34" t="s">
        <v>98</v>
      </c>
      <c r="BK34" t="s">
        <v>113</v>
      </c>
      <c r="BL34" t="s">
        <v>98</v>
      </c>
      <c r="BM34" t="s">
        <v>100</v>
      </c>
      <c r="BN34" t="s">
        <v>74</v>
      </c>
      <c r="BO34" t="s">
        <v>74</v>
      </c>
      <c r="BP34" t="s">
        <v>74</v>
      </c>
      <c r="BQ34" t="s">
        <v>74</v>
      </c>
      <c r="BR34" t="s">
        <v>101</v>
      </c>
      <c r="BS34" t="s">
        <v>380</v>
      </c>
      <c r="BT34" t="str">
        <f>HYPERLINK("https%3A%2F%2Fwww.webofscience.com%2Fwos%2Fwoscc%2Ffull-record%2FWOS:000257683100061","View Full Record in Web of Science")</f>
        <v>View Full Record in Web of Science</v>
      </c>
    </row>
    <row r="35" spans="1:72" x14ac:dyDescent="0.15">
      <c r="A35" t="s">
        <v>72</v>
      </c>
      <c r="B35" t="s">
        <v>381</v>
      </c>
      <c r="C35" t="s">
        <v>74</v>
      </c>
      <c r="D35" t="s">
        <v>74</v>
      </c>
      <c r="E35" t="s">
        <v>74</v>
      </c>
      <c r="F35" t="s">
        <v>382</v>
      </c>
      <c r="G35" t="s">
        <v>74</v>
      </c>
      <c r="H35" t="s">
        <v>74</v>
      </c>
      <c r="I35" t="s">
        <v>383</v>
      </c>
      <c r="J35" t="s">
        <v>77</v>
      </c>
      <c r="K35" t="s">
        <v>74</v>
      </c>
      <c r="L35" t="s">
        <v>74</v>
      </c>
      <c r="M35" t="s">
        <v>78</v>
      </c>
      <c r="N35" t="s">
        <v>52</v>
      </c>
      <c r="O35" t="s">
        <v>79</v>
      </c>
      <c r="P35" t="s">
        <v>80</v>
      </c>
      <c r="Q35" t="s">
        <v>81</v>
      </c>
      <c r="R35" t="s">
        <v>74</v>
      </c>
      <c r="S35" t="s">
        <v>82</v>
      </c>
      <c r="T35" t="s">
        <v>74</v>
      </c>
      <c r="U35" t="s">
        <v>74</v>
      </c>
      <c r="V35" t="s">
        <v>74</v>
      </c>
      <c r="W35" t="s">
        <v>384</v>
      </c>
      <c r="X35" t="s">
        <v>385</v>
      </c>
      <c r="Y35" t="s">
        <v>74</v>
      </c>
      <c r="Z35" t="s">
        <v>386</v>
      </c>
      <c r="AA35" t="s">
        <v>74</v>
      </c>
      <c r="AB35" t="s">
        <v>387</v>
      </c>
      <c r="AC35" t="s">
        <v>74</v>
      </c>
      <c r="AD35" t="s">
        <v>74</v>
      </c>
      <c r="AE35" t="s">
        <v>74</v>
      </c>
      <c r="AF35" t="s">
        <v>74</v>
      </c>
      <c r="AG35">
        <v>2</v>
      </c>
      <c r="AH35">
        <v>1</v>
      </c>
      <c r="AI35">
        <v>1</v>
      </c>
      <c r="AJ35">
        <v>0</v>
      </c>
      <c r="AK35">
        <v>2</v>
      </c>
      <c r="AL35" t="s">
        <v>109</v>
      </c>
      <c r="AM35" t="s">
        <v>110</v>
      </c>
      <c r="AN35" t="s">
        <v>111</v>
      </c>
      <c r="AO35" t="s">
        <v>91</v>
      </c>
      <c r="AP35" t="s">
        <v>74</v>
      </c>
      <c r="AQ35" t="s">
        <v>74</v>
      </c>
      <c r="AR35" t="s">
        <v>93</v>
      </c>
      <c r="AS35" t="s">
        <v>94</v>
      </c>
      <c r="AT35" t="s">
        <v>95</v>
      </c>
      <c r="AU35">
        <v>2008</v>
      </c>
      <c r="AV35">
        <v>43</v>
      </c>
      <c r="AW35">
        <v>7</v>
      </c>
      <c r="AX35" t="s">
        <v>74</v>
      </c>
      <c r="AY35" t="s">
        <v>96</v>
      </c>
      <c r="AZ35" t="s">
        <v>74</v>
      </c>
      <c r="BA35" t="s">
        <v>74</v>
      </c>
      <c r="BB35" t="s">
        <v>379</v>
      </c>
      <c r="BC35" t="s">
        <v>379</v>
      </c>
      <c r="BD35" t="s">
        <v>74</v>
      </c>
      <c r="BE35" t="s">
        <v>74</v>
      </c>
      <c r="BF35" t="s">
        <v>74</v>
      </c>
      <c r="BG35" t="s">
        <v>74</v>
      </c>
      <c r="BH35" t="s">
        <v>74</v>
      </c>
      <c r="BI35">
        <v>1</v>
      </c>
      <c r="BJ35" t="s">
        <v>98</v>
      </c>
      <c r="BK35" t="s">
        <v>113</v>
      </c>
      <c r="BL35" t="s">
        <v>98</v>
      </c>
      <c r="BM35" t="s">
        <v>100</v>
      </c>
      <c r="BN35" t="s">
        <v>74</v>
      </c>
      <c r="BO35" t="s">
        <v>74</v>
      </c>
      <c r="BP35" t="s">
        <v>74</v>
      </c>
      <c r="BQ35" t="s">
        <v>74</v>
      </c>
      <c r="BR35" t="s">
        <v>101</v>
      </c>
      <c r="BS35" t="s">
        <v>388</v>
      </c>
      <c r="BT35" t="str">
        <f>HYPERLINK("https%3A%2F%2Fwww.webofscience.com%2Fwos%2Fwoscc%2Ffull-record%2FWOS:000257683100062","View Full Record in Web of Science")</f>
        <v>View Full Record in Web of Science</v>
      </c>
    </row>
    <row r="36" spans="1:72" x14ac:dyDescent="0.15">
      <c r="A36" t="s">
        <v>72</v>
      </c>
      <c r="B36" t="s">
        <v>389</v>
      </c>
      <c r="C36" t="s">
        <v>74</v>
      </c>
      <c r="D36" t="s">
        <v>74</v>
      </c>
      <c r="E36" t="s">
        <v>74</v>
      </c>
      <c r="F36" t="s">
        <v>390</v>
      </c>
      <c r="G36" t="s">
        <v>74</v>
      </c>
      <c r="H36" t="s">
        <v>74</v>
      </c>
      <c r="I36" t="s">
        <v>391</v>
      </c>
      <c r="J36" t="s">
        <v>77</v>
      </c>
      <c r="K36" t="s">
        <v>74</v>
      </c>
      <c r="L36" t="s">
        <v>74</v>
      </c>
      <c r="M36" t="s">
        <v>78</v>
      </c>
      <c r="N36" t="s">
        <v>52</v>
      </c>
      <c r="O36" t="s">
        <v>79</v>
      </c>
      <c r="P36" t="s">
        <v>80</v>
      </c>
      <c r="Q36" t="s">
        <v>81</v>
      </c>
      <c r="R36" t="s">
        <v>74</v>
      </c>
      <c r="S36" t="s">
        <v>82</v>
      </c>
      <c r="T36" t="s">
        <v>74</v>
      </c>
      <c r="U36" t="s">
        <v>392</v>
      </c>
      <c r="V36" t="s">
        <v>74</v>
      </c>
      <c r="W36" t="s">
        <v>393</v>
      </c>
      <c r="X36" t="s">
        <v>394</v>
      </c>
      <c r="Y36" t="s">
        <v>74</v>
      </c>
      <c r="Z36" t="s">
        <v>395</v>
      </c>
      <c r="AA36" t="s">
        <v>396</v>
      </c>
      <c r="AB36" t="s">
        <v>74</v>
      </c>
      <c r="AC36" t="s">
        <v>74</v>
      </c>
      <c r="AD36" t="s">
        <v>74</v>
      </c>
      <c r="AE36" t="s">
        <v>74</v>
      </c>
      <c r="AF36" t="s">
        <v>74</v>
      </c>
      <c r="AG36">
        <v>8</v>
      </c>
      <c r="AH36">
        <v>1</v>
      </c>
      <c r="AI36">
        <v>3</v>
      </c>
      <c r="AJ36">
        <v>0</v>
      </c>
      <c r="AK36">
        <v>3</v>
      </c>
      <c r="AL36" t="s">
        <v>109</v>
      </c>
      <c r="AM36" t="s">
        <v>110</v>
      </c>
      <c r="AN36" t="s">
        <v>111</v>
      </c>
      <c r="AO36" t="s">
        <v>91</v>
      </c>
      <c r="AP36" t="s">
        <v>74</v>
      </c>
      <c r="AQ36" t="s">
        <v>74</v>
      </c>
      <c r="AR36" t="s">
        <v>93</v>
      </c>
      <c r="AS36" t="s">
        <v>94</v>
      </c>
      <c r="AT36" t="s">
        <v>95</v>
      </c>
      <c r="AU36">
        <v>2008</v>
      </c>
      <c r="AV36">
        <v>43</v>
      </c>
      <c r="AW36">
        <v>7</v>
      </c>
      <c r="AX36" t="s">
        <v>74</v>
      </c>
      <c r="AY36" t="s">
        <v>96</v>
      </c>
      <c r="AZ36" t="s">
        <v>74</v>
      </c>
      <c r="BA36" t="s">
        <v>74</v>
      </c>
      <c r="BB36" t="s">
        <v>397</v>
      </c>
      <c r="BC36" t="s">
        <v>397</v>
      </c>
      <c r="BD36" t="s">
        <v>74</v>
      </c>
      <c r="BE36" t="s">
        <v>74</v>
      </c>
      <c r="BF36" t="s">
        <v>74</v>
      </c>
      <c r="BG36" t="s">
        <v>74</v>
      </c>
      <c r="BH36" t="s">
        <v>74</v>
      </c>
      <c r="BI36">
        <v>1</v>
      </c>
      <c r="BJ36" t="s">
        <v>98</v>
      </c>
      <c r="BK36" t="s">
        <v>113</v>
      </c>
      <c r="BL36" t="s">
        <v>98</v>
      </c>
      <c r="BM36" t="s">
        <v>100</v>
      </c>
      <c r="BN36" t="s">
        <v>74</v>
      </c>
      <c r="BO36" t="s">
        <v>74</v>
      </c>
      <c r="BP36" t="s">
        <v>74</v>
      </c>
      <c r="BQ36" t="s">
        <v>74</v>
      </c>
      <c r="BR36" t="s">
        <v>101</v>
      </c>
      <c r="BS36" t="s">
        <v>398</v>
      </c>
      <c r="BT36" t="str">
        <f>HYPERLINK("https%3A%2F%2Fwww.webofscience.com%2Fwos%2Fwoscc%2Ffull-record%2FWOS:000257683100063","View Full Record in Web of Science")</f>
        <v>View Full Record in Web of Science</v>
      </c>
    </row>
    <row r="37" spans="1:72" x14ac:dyDescent="0.15">
      <c r="A37" t="s">
        <v>72</v>
      </c>
      <c r="B37" t="s">
        <v>399</v>
      </c>
      <c r="C37" t="s">
        <v>74</v>
      </c>
      <c r="D37" t="s">
        <v>74</v>
      </c>
      <c r="E37" t="s">
        <v>74</v>
      </c>
      <c r="F37" t="s">
        <v>400</v>
      </c>
      <c r="G37" t="s">
        <v>74</v>
      </c>
      <c r="H37" t="s">
        <v>74</v>
      </c>
      <c r="I37" t="s">
        <v>401</v>
      </c>
      <c r="J37" t="s">
        <v>77</v>
      </c>
      <c r="K37" t="s">
        <v>74</v>
      </c>
      <c r="L37" t="s">
        <v>74</v>
      </c>
      <c r="M37" t="s">
        <v>78</v>
      </c>
      <c r="N37" t="s">
        <v>52</v>
      </c>
      <c r="O37" t="s">
        <v>79</v>
      </c>
      <c r="P37" t="s">
        <v>80</v>
      </c>
      <c r="Q37" t="s">
        <v>81</v>
      </c>
      <c r="R37" t="s">
        <v>74</v>
      </c>
      <c r="S37" t="s">
        <v>82</v>
      </c>
      <c r="T37" t="s">
        <v>74</v>
      </c>
      <c r="U37" t="s">
        <v>74</v>
      </c>
      <c r="V37" t="s">
        <v>74</v>
      </c>
      <c r="W37" t="s">
        <v>402</v>
      </c>
      <c r="X37" t="s">
        <v>403</v>
      </c>
      <c r="Y37" t="s">
        <v>74</v>
      </c>
      <c r="Z37" t="s">
        <v>404</v>
      </c>
      <c r="AA37" t="s">
        <v>74</v>
      </c>
      <c r="AB37" t="s">
        <v>74</v>
      </c>
      <c r="AC37" t="s">
        <v>74</v>
      </c>
      <c r="AD37" t="s">
        <v>74</v>
      </c>
      <c r="AE37" t="s">
        <v>74</v>
      </c>
      <c r="AF37" t="s">
        <v>74</v>
      </c>
      <c r="AG37">
        <v>1</v>
      </c>
      <c r="AH37">
        <v>1</v>
      </c>
      <c r="AI37">
        <v>1</v>
      </c>
      <c r="AJ37">
        <v>0</v>
      </c>
      <c r="AK37">
        <v>1</v>
      </c>
      <c r="AL37" t="s">
        <v>109</v>
      </c>
      <c r="AM37" t="s">
        <v>110</v>
      </c>
      <c r="AN37" t="s">
        <v>111</v>
      </c>
      <c r="AO37" t="s">
        <v>91</v>
      </c>
      <c r="AP37" t="s">
        <v>74</v>
      </c>
      <c r="AQ37" t="s">
        <v>74</v>
      </c>
      <c r="AR37" t="s">
        <v>93</v>
      </c>
      <c r="AS37" t="s">
        <v>94</v>
      </c>
      <c r="AT37" t="s">
        <v>95</v>
      </c>
      <c r="AU37">
        <v>2008</v>
      </c>
      <c r="AV37">
        <v>43</v>
      </c>
      <c r="AW37">
        <v>7</v>
      </c>
      <c r="AX37" t="s">
        <v>74</v>
      </c>
      <c r="AY37" t="s">
        <v>96</v>
      </c>
      <c r="AZ37" t="s">
        <v>74</v>
      </c>
      <c r="BA37" t="s">
        <v>74</v>
      </c>
      <c r="BB37" t="s">
        <v>397</v>
      </c>
      <c r="BC37" t="s">
        <v>397</v>
      </c>
      <c r="BD37" t="s">
        <v>74</v>
      </c>
      <c r="BE37" t="s">
        <v>74</v>
      </c>
      <c r="BF37" t="s">
        <v>74</v>
      </c>
      <c r="BG37" t="s">
        <v>74</v>
      </c>
      <c r="BH37" t="s">
        <v>74</v>
      </c>
      <c r="BI37">
        <v>1</v>
      </c>
      <c r="BJ37" t="s">
        <v>98</v>
      </c>
      <c r="BK37" t="s">
        <v>113</v>
      </c>
      <c r="BL37" t="s">
        <v>98</v>
      </c>
      <c r="BM37" t="s">
        <v>100</v>
      </c>
      <c r="BN37" t="s">
        <v>74</v>
      </c>
      <c r="BO37" t="s">
        <v>74</v>
      </c>
      <c r="BP37" t="s">
        <v>74</v>
      </c>
      <c r="BQ37" t="s">
        <v>74</v>
      </c>
      <c r="BR37" t="s">
        <v>101</v>
      </c>
      <c r="BS37" t="s">
        <v>405</v>
      </c>
      <c r="BT37" t="str">
        <f>HYPERLINK("https%3A%2F%2Fwww.webofscience.com%2Fwos%2Fwoscc%2Ffull-record%2FWOS:000257683100064","View Full Record in Web of Science")</f>
        <v>View Full Record in Web of Science</v>
      </c>
    </row>
    <row r="38" spans="1:72" x14ac:dyDescent="0.15">
      <c r="A38" t="s">
        <v>72</v>
      </c>
      <c r="B38" t="s">
        <v>406</v>
      </c>
      <c r="C38" t="s">
        <v>74</v>
      </c>
      <c r="D38" t="s">
        <v>74</v>
      </c>
      <c r="E38" t="s">
        <v>74</v>
      </c>
      <c r="F38" t="s">
        <v>407</v>
      </c>
      <c r="G38" t="s">
        <v>74</v>
      </c>
      <c r="H38" t="s">
        <v>74</v>
      </c>
      <c r="I38" t="s">
        <v>408</v>
      </c>
      <c r="J38" t="s">
        <v>77</v>
      </c>
      <c r="K38" t="s">
        <v>74</v>
      </c>
      <c r="L38" t="s">
        <v>74</v>
      </c>
      <c r="M38" t="s">
        <v>78</v>
      </c>
      <c r="N38" t="s">
        <v>52</v>
      </c>
      <c r="O38" t="s">
        <v>79</v>
      </c>
      <c r="P38" t="s">
        <v>80</v>
      </c>
      <c r="Q38" t="s">
        <v>81</v>
      </c>
      <c r="R38" t="s">
        <v>74</v>
      </c>
      <c r="S38" t="s">
        <v>82</v>
      </c>
      <c r="T38" t="s">
        <v>74</v>
      </c>
      <c r="U38" t="s">
        <v>409</v>
      </c>
      <c r="V38" t="s">
        <v>74</v>
      </c>
      <c r="W38" t="s">
        <v>118</v>
      </c>
      <c r="X38" t="s">
        <v>119</v>
      </c>
      <c r="Y38" t="s">
        <v>74</v>
      </c>
      <c r="Z38" t="s">
        <v>410</v>
      </c>
      <c r="AA38" t="s">
        <v>74</v>
      </c>
      <c r="AB38" t="s">
        <v>74</v>
      </c>
      <c r="AC38" t="s">
        <v>74</v>
      </c>
      <c r="AD38" t="s">
        <v>74</v>
      </c>
      <c r="AE38" t="s">
        <v>74</v>
      </c>
      <c r="AF38" t="s">
        <v>74</v>
      </c>
      <c r="AG38">
        <v>10</v>
      </c>
      <c r="AH38">
        <v>5</v>
      </c>
      <c r="AI38">
        <v>5</v>
      </c>
      <c r="AJ38">
        <v>0</v>
      </c>
      <c r="AK38">
        <v>1</v>
      </c>
      <c r="AL38" t="s">
        <v>88</v>
      </c>
      <c r="AM38" t="s">
        <v>89</v>
      </c>
      <c r="AN38" t="s">
        <v>90</v>
      </c>
      <c r="AO38" t="s">
        <v>91</v>
      </c>
      <c r="AP38" t="s">
        <v>92</v>
      </c>
      <c r="AQ38" t="s">
        <v>74</v>
      </c>
      <c r="AR38" t="s">
        <v>93</v>
      </c>
      <c r="AS38" t="s">
        <v>94</v>
      </c>
      <c r="AT38" t="s">
        <v>95</v>
      </c>
      <c r="AU38">
        <v>2008</v>
      </c>
      <c r="AV38">
        <v>43</v>
      </c>
      <c r="AW38">
        <v>7</v>
      </c>
      <c r="AX38" t="s">
        <v>74</v>
      </c>
      <c r="AY38" t="s">
        <v>96</v>
      </c>
      <c r="AZ38" t="s">
        <v>74</v>
      </c>
      <c r="BA38" t="s">
        <v>74</v>
      </c>
      <c r="BB38" t="s">
        <v>411</v>
      </c>
      <c r="BC38" t="s">
        <v>411</v>
      </c>
      <c r="BD38" t="s">
        <v>74</v>
      </c>
      <c r="BE38" t="s">
        <v>74</v>
      </c>
      <c r="BF38" t="s">
        <v>74</v>
      </c>
      <c r="BG38" t="s">
        <v>74</v>
      </c>
      <c r="BH38" t="s">
        <v>74</v>
      </c>
      <c r="BI38">
        <v>1</v>
      </c>
      <c r="BJ38" t="s">
        <v>98</v>
      </c>
      <c r="BK38" t="s">
        <v>99</v>
      </c>
      <c r="BL38" t="s">
        <v>98</v>
      </c>
      <c r="BM38" t="s">
        <v>100</v>
      </c>
      <c r="BN38" t="s">
        <v>74</v>
      </c>
      <c r="BO38" t="s">
        <v>74</v>
      </c>
      <c r="BP38" t="s">
        <v>74</v>
      </c>
      <c r="BQ38" t="s">
        <v>74</v>
      </c>
      <c r="BR38" t="s">
        <v>101</v>
      </c>
      <c r="BS38" t="s">
        <v>412</v>
      </c>
      <c r="BT38" t="str">
        <f>HYPERLINK("https%3A%2F%2Fwww.webofscience.com%2Fwos%2Fwoscc%2Ffull-record%2FWOS:000257683100065","View Full Record in Web of Science")</f>
        <v>View Full Record in Web of Science</v>
      </c>
    </row>
    <row r="39" spans="1:72" x14ac:dyDescent="0.15">
      <c r="A39" t="s">
        <v>72</v>
      </c>
      <c r="B39" t="s">
        <v>413</v>
      </c>
      <c r="C39" t="s">
        <v>74</v>
      </c>
      <c r="D39" t="s">
        <v>74</v>
      </c>
      <c r="E39" t="s">
        <v>74</v>
      </c>
      <c r="F39" t="s">
        <v>414</v>
      </c>
      <c r="G39" t="s">
        <v>74</v>
      </c>
      <c r="H39" t="s">
        <v>74</v>
      </c>
      <c r="I39" t="s">
        <v>415</v>
      </c>
      <c r="J39" t="s">
        <v>77</v>
      </c>
      <c r="K39" t="s">
        <v>74</v>
      </c>
      <c r="L39" t="s">
        <v>74</v>
      </c>
      <c r="M39" t="s">
        <v>78</v>
      </c>
      <c r="N39" t="s">
        <v>52</v>
      </c>
      <c r="O39" t="s">
        <v>79</v>
      </c>
      <c r="P39" t="s">
        <v>80</v>
      </c>
      <c r="Q39" t="s">
        <v>81</v>
      </c>
      <c r="R39" t="s">
        <v>74</v>
      </c>
      <c r="S39" t="s">
        <v>82</v>
      </c>
      <c r="T39" t="s">
        <v>74</v>
      </c>
      <c r="U39" t="s">
        <v>74</v>
      </c>
      <c r="V39" t="s">
        <v>74</v>
      </c>
      <c r="W39" t="s">
        <v>416</v>
      </c>
      <c r="X39" t="s">
        <v>417</v>
      </c>
      <c r="Y39" t="s">
        <v>74</v>
      </c>
      <c r="Z39" t="s">
        <v>74</v>
      </c>
      <c r="AA39" t="s">
        <v>74</v>
      </c>
      <c r="AB39" t="s">
        <v>74</v>
      </c>
      <c r="AC39" t="s">
        <v>74</v>
      </c>
      <c r="AD39" t="s">
        <v>74</v>
      </c>
      <c r="AE39" t="s">
        <v>74</v>
      </c>
      <c r="AF39" t="s">
        <v>74</v>
      </c>
      <c r="AG39">
        <v>6</v>
      </c>
      <c r="AH39">
        <v>0</v>
      </c>
      <c r="AI39">
        <v>0</v>
      </c>
      <c r="AJ39">
        <v>0</v>
      </c>
      <c r="AK39">
        <v>0</v>
      </c>
      <c r="AL39" t="s">
        <v>109</v>
      </c>
      <c r="AM39" t="s">
        <v>110</v>
      </c>
      <c r="AN39" t="s">
        <v>111</v>
      </c>
      <c r="AO39" t="s">
        <v>91</v>
      </c>
      <c r="AP39" t="s">
        <v>74</v>
      </c>
      <c r="AQ39" t="s">
        <v>74</v>
      </c>
      <c r="AR39" t="s">
        <v>93</v>
      </c>
      <c r="AS39" t="s">
        <v>94</v>
      </c>
      <c r="AT39" t="s">
        <v>95</v>
      </c>
      <c r="AU39">
        <v>2008</v>
      </c>
      <c r="AV39">
        <v>43</v>
      </c>
      <c r="AW39">
        <v>7</v>
      </c>
      <c r="AX39" t="s">
        <v>74</v>
      </c>
      <c r="AY39" t="s">
        <v>74</v>
      </c>
      <c r="AZ39" t="s">
        <v>74</v>
      </c>
      <c r="BA39" t="s">
        <v>74</v>
      </c>
      <c r="BB39" t="s">
        <v>418</v>
      </c>
      <c r="BC39" t="s">
        <v>418</v>
      </c>
      <c r="BD39" t="s">
        <v>74</v>
      </c>
      <c r="BE39" t="s">
        <v>74</v>
      </c>
      <c r="BF39" t="s">
        <v>74</v>
      </c>
      <c r="BG39" t="s">
        <v>74</v>
      </c>
      <c r="BH39" t="s">
        <v>74</v>
      </c>
      <c r="BI39">
        <v>1</v>
      </c>
      <c r="BJ39" t="s">
        <v>98</v>
      </c>
      <c r="BK39" t="s">
        <v>419</v>
      </c>
      <c r="BL39" t="s">
        <v>98</v>
      </c>
      <c r="BM39" t="s">
        <v>100</v>
      </c>
      <c r="BN39" t="s">
        <v>74</v>
      </c>
      <c r="BO39" t="s">
        <v>74</v>
      </c>
      <c r="BP39" t="s">
        <v>74</v>
      </c>
      <c r="BQ39" t="s">
        <v>74</v>
      </c>
      <c r="BR39" t="s">
        <v>101</v>
      </c>
      <c r="BS39" t="s">
        <v>420</v>
      </c>
      <c r="BT39" t="str">
        <f>HYPERLINK("https%3A%2F%2Fwww.webofscience.com%2Fwos%2Fwoscc%2Ffull-record%2FWOS:000257683100338","View Full Record in Web of Science")</f>
        <v>View Full Record in Web of Science</v>
      </c>
    </row>
    <row r="40" spans="1:72" x14ac:dyDescent="0.15">
      <c r="A40" t="s">
        <v>72</v>
      </c>
      <c r="B40" t="s">
        <v>421</v>
      </c>
      <c r="C40" t="s">
        <v>74</v>
      </c>
      <c r="D40" t="s">
        <v>74</v>
      </c>
      <c r="E40" t="s">
        <v>74</v>
      </c>
      <c r="F40" t="s">
        <v>422</v>
      </c>
      <c r="G40" t="s">
        <v>74</v>
      </c>
      <c r="H40" t="s">
        <v>74</v>
      </c>
      <c r="I40" t="s">
        <v>423</v>
      </c>
      <c r="J40" t="s">
        <v>77</v>
      </c>
      <c r="K40" t="s">
        <v>74</v>
      </c>
      <c r="L40" t="s">
        <v>74</v>
      </c>
      <c r="M40" t="s">
        <v>78</v>
      </c>
      <c r="N40" t="s">
        <v>52</v>
      </c>
      <c r="O40" t="s">
        <v>79</v>
      </c>
      <c r="P40" t="s">
        <v>80</v>
      </c>
      <c r="Q40" t="s">
        <v>81</v>
      </c>
      <c r="R40" t="s">
        <v>74</v>
      </c>
      <c r="S40" t="s">
        <v>82</v>
      </c>
      <c r="T40" t="s">
        <v>74</v>
      </c>
      <c r="U40" t="s">
        <v>74</v>
      </c>
      <c r="V40" t="s">
        <v>74</v>
      </c>
      <c r="W40" t="s">
        <v>424</v>
      </c>
      <c r="X40" t="s">
        <v>425</v>
      </c>
      <c r="Y40" t="s">
        <v>74</v>
      </c>
      <c r="Z40" t="s">
        <v>426</v>
      </c>
      <c r="AA40" t="s">
        <v>427</v>
      </c>
      <c r="AB40" t="s">
        <v>74</v>
      </c>
      <c r="AC40" t="s">
        <v>74</v>
      </c>
      <c r="AD40" t="s">
        <v>74</v>
      </c>
      <c r="AE40" t="s">
        <v>74</v>
      </c>
      <c r="AF40" t="s">
        <v>74</v>
      </c>
      <c r="AG40">
        <v>3</v>
      </c>
      <c r="AH40">
        <v>0</v>
      </c>
      <c r="AI40">
        <v>0</v>
      </c>
      <c r="AJ40">
        <v>0</v>
      </c>
      <c r="AK40">
        <v>0</v>
      </c>
      <c r="AL40" t="s">
        <v>109</v>
      </c>
      <c r="AM40" t="s">
        <v>110</v>
      </c>
      <c r="AN40" t="s">
        <v>111</v>
      </c>
      <c r="AO40" t="s">
        <v>91</v>
      </c>
      <c r="AP40" t="s">
        <v>74</v>
      </c>
      <c r="AQ40" t="s">
        <v>74</v>
      </c>
      <c r="AR40" t="s">
        <v>93</v>
      </c>
      <c r="AS40" t="s">
        <v>94</v>
      </c>
      <c r="AT40" t="s">
        <v>95</v>
      </c>
      <c r="AU40">
        <v>2008</v>
      </c>
      <c r="AV40">
        <v>43</v>
      </c>
      <c r="AW40">
        <v>7</v>
      </c>
      <c r="AX40" t="s">
        <v>74</v>
      </c>
      <c r="AY40" t="s">
        <v>96</v>
      </c>
      <c r="AZ40" t="s">
        <v>74</v>
      </c>
      <c r="BA40" t="s">
        <v>74</v>
      </c>
      <c r="BB40" t="s">
        <v>418</v>
      </c>
      <c r="BC40" t="s">
        <v>418</v>
      </c>
      <c r="BD40" t="s">
        <v>74</v>
      </c>
      <c r="BE40" t="s">
        <v>74</v>
      </c>
      <c r="BF40" t="s">
        <v>74</v>
      </c>
      <c r="BG40" t="s">
        <v>74</v>
      </c>
      <c r="BH40" t="s">
        <v>74</v>
      </c>
      <c r="BI40">
        <v>1</v>
      </c>
      <c r="BJ40" t="s">
        <v>98</v>
      </c>
      <c r="BK40" t="s">
        <v>113</v>
      </c>
      <c r="BL40" t="s">
        <v>98</v>
      </c>
      <c r="BM40" t="s">
        <v>100</v>
      </c>
      <c r="BN40" t="s">
        <v>74</v>
      </c>
      <c r="BO40" t="s">
        <v>74</v>
      </c>
      <c r="BP40" t="s">
        <v>74</v>
      </c>
      <c r="BQ40" t="s">
        <v>74</v>
      </c>
      <c r="BR40" t="s">
        <v>101</v>
      </c>
      <c r="BS40" t="s">
        <v>428</v>
      </c>
      <c r="BT40" t="str">
        <f>HYPERLINK("https%3A%2F%2Fwww.webofscience.com%2Fwos%2Fwoscc%2Ffull-record%2FWOS:000257683100339","View Full Record in Web of Science")</f>
        <v>View Full Record in Web of Science</v>
      </c>
    </row>
    <row r="41" spans="1:72" x14ac:dyDescent="0.15">
      <c r="A41" t="s">
        <v>72</v>
      </c>
      <c r="B41" t="s">
        <v>429</v>
      </c>
      <c r="C41" t="s">
        <v>74</v>
      </c>
      <c r="D41" t="s">
        <v>74</v>
      </c>
      <c r="E41" t="s">
        <v>74</v>
      </c>
      <c r="F41" t="s">
        <v>430</v>
      </c>
      <c r="G41" t="s">
        <v>74</v>
      </c>
      <c r="H41" t="s">
        <v>74</v>
      </c>
      <c r="I41" t="s">
        <v>431</v>
      </c>
      <c r="J41" t="s">
        <v>77</v>
      </c>
      <c r="K41" t="s">
        <v>74</v>
      </c>
      <c r="L41" t="s">
        <v>74</v>
      </c>
      <c r="M41" t="s">
        <v>78</v>
      </c>
      <c r="N41" t="s">
        <v>52</v>
      </c>
      <c r="O41" t="s">
        <v>79</v>
      </c>
      <c r="P41" t="s">
        <v>80</v>
      </c>
      <c r="Q41" t="s">
        <v>81</v>
      </c>
      <c r="R41" t="s">
        <v>74</v>
      </c>
      <c r="S41" t="s">
        <v>82</v>
      </c>
      <c r="T41" t="s">
        <v>74</v>
      </c>
      <c r="U41" t="s">
        <v>432</v>
      </c>
      <c r="V41" t="s">
        <v>74</v>
      </c>
      <c r="W41" t="s">
        <v>433</v>
      </c>
      <c r="X41" t="s">
        <v>434</v>
      </c>
      <c r="Y41" t="s">
        <v>74</v>
      </c>
      <c r="Z41" t="s">
        <v>426</v>
      </c>
      <c r="AA41" t="s">
        <v>427</v>
      </c>
      <c r="AB41" t="s">
        <v>74</v>
      </c>
      <c r="AC41" t="s">
        <v>74</v>
      </c>
      <c r="AD41" t="s">
        <v>74</v>
      </c>
      <c r="AE41" t="s">
        <v>74</v>
      </c>
      <c r="AF41" t="s">
        <v>74</v>
      </c>
      <c r="AG41">
        <v>6</v>
      </c>
      <c r="AH41">
        <v>0</v>
      </c>
      <c r="AI41">
        <v>0</v>
      </c>
      <c r="AJ41">
        <v>0</v>
      </c>
      <c r="AK41">
        <v>1</v>
      </c>
      <c r="AL41" t="s">
        <v>109</v>
      </c>
      <c r="AM41" t="s">
        <v>110</v>
      </c>
      <c r="AN41" t="s">
        <v>111</v>
      </c>
      <c r="AO41" t="s">
        <v>91</v>
      </c>
      <c r="AP41" t="s">
        <v>74</v>
      </c>
      <c r="AQ41" t="s">
        <v>74</v>
      </c>
      <c r="AR41" t="s">
        <v>93</v>
      </c>
      <c r="AS41" t="s">
        <v>94</v>
      </c>
      <c r="AT41" t="s">
        <v>95</v>
      </c>
      <c r="AU41">
        <v>2008</v>
      </c>
      <c r="AV41">
        <v>43</v>
      </c>
      <c r="AW41">
        <v>7</v>
      </c>
      <c r="AX41" t="s">
        <v>74</v>
      </c>
      <c r="AY41" t="s">
        <v>96</v>
      </c>
      <c r="AZ41" t="s">
        <v>74</v>
      </c>
      <c r="BA41" t="s">
        <v>74</v>
      </c>
      <c r="BB41" t="s">
        <v>411</v>
      </c>
      <c r="BC41" t="s">
        <v>411</v>
      </c>
      <c r="BD41" t="s">
        <v>74</v>
      </c>
      <c r="BE41" t="s">
        <v>74</v>
      </c>
      <c r="BF41" t="s">
        <v>74</v>
      </c>
      <c r="BG41" t="s">
        <v>74</v>
      </c>
      <c r="BH41" t="s">
        <v>74</v>
      </c>
      <c r="BI41">
        <v>1</v>
      </c>
      <c r="BJ41" t="s">
        <v>98</v>
      </c>
      <c r="BK41" t="s">
        <v>113</v>
      </c>
      <c r="BL41" t="s">
        <v>98</v>
      </c>
      <c r="BM41" t="s">
        <v>100</v>
      </c>
      <c r="BN41" t="s">
        <v>74</v>
      </c>
      <c r="BO41" t="s">
        <v>74</v>
      </c>
      <c r="BP41" t="s">
        <v>74</v>
      </c>
      <c r="BQ41" t="s">
        <v>74</v>
      </c>
      <c r="BR41" t="s">
        <v>101</v>
      </c>
      <c r="BS41" t="s">
        <v>435</v>
      </c>
      <c r="BT41" t="str">
        <f>HYPERLINK("https%3A%2F%2Fwww.webofscience.com%2Fwos%2Fwoscc%2Ffull-record%2FWOS:000257683100066","View Full Record in Web of Science")</f>
        <v>View Full Record in Web of Science</v>
      </c>
    </row>
    <row r="42" spans="1:72" x14ac:dyDescent="0.15">
      <c r="A42" t="s">
        <v>72</v>
      </c>
      <c r="B42" t="s">
        <v>436</v>
      </c>
      <c r="C42" t="s">
        <v>74</v>
      </c>
      <c r="D42" t="s">
        <v>74</v>
      </c>
      <c r="E42" t="s">
        <v>74</v>
      </c>
      <c r="F42" t="s">
        <v>437</v>
      </c>
      <c r="G42" t="s">
        <v>74</v>
      </c>
      <c r="H42" t="s">
        <v>74</v>
      </c>
      <c r="I42" t="s">
        <v>438</v>
      </c>
      <c r="J42" t="s">
        <v>77</v>
      </c>
      <c r="K42" t="s">
        <v>74</v>
      </c>
      <c r="L42" t="s">
        <v>74</v>
      </c>
      <c r="M42" t="s">
        <v>78</v>
      </c>
      <c r="N42" t="s">
        <v>52</v>
      </c>
      <c r="O42" t="s">
        <v>79</v>
      </c>
      <c r="P42" t="s">
        <v>80</v>
      </c>
      <c r="Q42" t="s">
        <v>81</v>
      </c>
      <c r="R42" t="s">
        <v>74</v>
      </c>
      <c r="S42" t="s">
        <v>82</v>
      </c>
      <c r="T42" t="s">
        <v>74</v>
      </c>
      <c r="U42" t="s">
        <v>74</v>
      </c>
      <c r="V42" t="s">
        <v>74</v>
      </c>
      <c r="W42" t="s">
        <v>439</v>
      </c>
      <c r="X42" t="s">
        <v>440</v>
      </c>
      <c r="Y42" t="s">
        <v>74</v>
      </c>
      <c r="Z42" t="s">
        <v>74</v>
      </c>
      <c r="AA42" t="s">
        <v>74</v>
      </c>
      <c r="AB42" t="s">
        <v>74</v>
      </c>
      <c r="AC42" t="s">
        <v>74</v>
      </c>
      <c r="AD42" t="s">
        <v>74</v>
      </c>
      <c r="AE42" t="s">
        <v>74</v>
      </c>
      <c r="AF42" t="s">
        <v>74</v>
      </c>
      <c r="AG42">
        <v>8</v>
      </c>
      <c r="AH42">
        <v>0</v>
      </c>
      <c r="AI42">
        <v>0</v>
      </c>
      <c r="AJ42">
        <v>0</v>
      </c>
      <c r="AK42">
        <v>0</v>
      </c>
      <c r="AL42" t="s">
        <v>88</v>
      </c>
      <c r="AM42" t="s">
        <v>89</v>
      </c>
      <c r="AN42" t="s">
        <v>90</v>
      </c>
      <c r="AO42" t="s">
        <v>91</v>
      </c>
      <c r="AP42" t="s">
        <v>92</v>
      </c>
      <c r="AQ42" t="s">
        <v>74</v>
      </c>
      <c r="AR42" t="s">
        <v>93</v>
      </c>
      <c r="AS42" t="s">
        <v>94</v>
      </c>
      <c r="AT42" t="s">
        <v>95</v>
      </c>
      <c r="AU42">
        <v>2008</v>
      </c>
      <c r="AV42">
        <v>43</v>
      </c>
      <c r="AW42">
        <v>7</v>
      </c>
      <c r="AX42" t="s">
        <v>74</v>
      </c>
      <c r="AY42" t="s">
        <v>96</v>
      </c>
      <c r="AZ42" t="s">
        <v>74</v>
      </c>
      <c r="BA42" t="s">
        <v>74</v>
      </c>
      <c r="BB42" t="s">
        <v>441</v>
      </c>
      <c r="BC42" t="s">
        <v>441</v>
      </c>
      <c r="BD42" t="s">
        <v>74</v>
      </c>
      <c r="BE42" t="s">
        <v>74</v>
      </c>
      <c r="BF42" t="s">
        <v>74</v>
      </c>
      <c r="BG42" t="s">
        <v>74</v>
      </c>
      <c r="BH42" t="s">
        <v>74</v>
      </c>
      <c r="BI42">
        <v>1</v>
      </c>
      <c r="BJ42" t="s">
        <v>98</v>
      </c>
      <c r="BK42" t="s">
        <v>99</v>
      </c>
      <c r="BL42" t="s">
        <v>98</v>
      </c>
      <c r="BM42" t="s">
        <v>100</v>
      </c>
      <c r="BN42" t="s">
        <v>74</v>
      </c>
      <c r="BO42" t="s">
        <v>74</v>
      </c>
      <c r="BP42" t="s">
        <v>74</v>
      </c>
      <c r="BQ42" t="s">
        <v>74</v>
      </c>
      <c r="BR42" t="s">
        <v>101</v>
      </c>
      <c r="BS42" t="s">
        <v>442</v>
      </c>
      <c r="BT42" t="str">
        <f>HYPERLINK("https%3A%2F%2Fwww.webofscience.com%2Fwos%2Fwoscc%2Ffull-record%2FWOS:000257683100068","View Full Record in Web of Science")</f>
        <v>View Full Record in Web of Science</v>
      </c>
    </row>
    <row r="43" spans="1:72" x14ac:dyDescent="0.15">
      <c r="A43" t="s">
        <v>72</v>
      </c>
      <c r="B43" t="s">
        <v>443</v>
      </c>
      <c r="C43" t="s">
        <v>74</v>
      </c>
      <c r="D43" t="s">
        <v>74</v>
      </c>
      <c r="E43" t="s">
        <v>74</v>
      </c>
      <c r="F43" t="s">
        <v>444</v>
      </c>
      <c r="G43" t="s">
        <v>74</v>
      </c>
      <c r="H43" t="s">
        <v>74</v>
      </c>
      <c r="I43" t="s">
        <v>445</v>
      </c>
      <c r="J43" t="s">
        <v>77</v>
      </c>
      <c r="K43" t="s">
        <v>74</v>
      </c>
      <c r="L43" t="s">
        <v>74</v>
      </c>
      <c r="M43" t="s">
        <v>78</v>
      </c>
      <c r="N43" t="s">
        <v>52</v>
      </c>
      <c r="O43" t="s">
        <v>79</v>
      </c>
      <c r="P43" t="s">
        <v>80</v>
      </c>
      <c r="Q43" t="s">
        <v>81</v>
      </c>
      <c r="R43" t="s">
        <v>74</v>
      </c>
      <c r="S43" t="s">
        <v>82</v>
      </c>
      <c r="T43" t="s">
        <v>74</v>
      </c>
      <c r="U43" t="s">
        <v>74</v>
      </c>
      <c r="V43" t="s">
        <v>74</v>
      </c>
      <c r="W43" t="s">
        <v>446</v>
      </c>
      <c r="X43" t="s">
        <v>447</v>
      </c>
      <c r="Y43" t="s">
        <v>74</v>
      </c>
      <c r="Z43" t="s">
        <v>448</v>
      </c>
      <c r="AA43" t="s">
        <v>449</v>
      </c>
      <c r="AB43" t="s">
        <v>74</v>
      </c>
      <c r="AC43" t="s">
        <v>74</v>
      </c>
      <c r="AD43" t="s">
        <v>74</v>
      </c>
      <c r="AE43" t="s">
        <v>74</v>
      </c>
      <c r="AF43" t="s">
        <v>74</v>
      </c>
      <c r="AG43">
        <v>4</v>
      </c>
      <c r="AH43">
        <v>0</v>
      </c>
      <c r="AI43">
        <v>0</v>
      </c>
      <c r="AJ43">
        <v>0</v>
      </c>
      <c r="AK43">
        <v>0</v>
      </c>
      <c r="AL43" t="s">
        <v>149</v>
      </c>
      <c r="AM43" t="s">
        <v>150</v>
      </c>
      <c r="AN43" t="s">
        <v>151</v>
      </c>
      <c r="AO43" t="s">
        <v>91</v>
      </c>
      <c r="AP43" t="s">
        <v>74</v>
      </c>
      <c r="AQ43" t="s">
        <v>74</v>
      </c>
      <c r="AR43" t="s">
        <v>93</v>
      </c>
      <c r="AS43" t="s">
        <v>94</v>
      </c>
      <c r="AT43" t="s">
        <v>95</v>
      </c>
      <c r="AU43">
        <v>2008</v>
      </c>
      <c r="AV43">
        <v>43</v>
      </c>
      <c r="AW43">
        <v>7</v>
      </c>
      <c r="AX43" t="s">
        <v>74</v>
      </c>
      <c r="AY43" t="s">
        <v>96</v>
      </c>
      <c r="AZ43" t="s">
        <v>74</v>
      </c>
      <c r="BA43" t="s">
        <v>74</v>
      </c>
      <c r="BB43" t="s">
        <v>441</v>
      </c>
      <c r="BC43" t="s">
        <v>441</v>
      </c>
      <c r="BD43" t="s">
        <v>74</v>
      </c>
      <c r="BE43" t="s">
        <v>74</v>
      </c>
      <c r="BF43" t="s">
        <v>74</v>
      </c>
      <c r="BG43" t="s">
        <v>74</v>
      </c>
      <c r="BH43" t="s">
        <v>74</v>
      </c>
      <c r="BI43">
        <v>1</v>
      </c>
      <c r="BJ43" t="s">
        <v>98</v>
      </c>
      <c r="BK43" t="s">
        <v>99</v>
      </c>
      <c r="BL43" t="s">
        <v>98</v>
      </c>
      <c r="BM43" t="s">
        <v>100</v>
      </c>
      <c r="BN43" t="s">
        <v>74</v>
      </c>
      <c r="BO43" t="s">
        <v>74</v>
      </c>
      <c r="BP43" t="s">
        <v>74</v>
      </c>
      <c r="BQ43" t="s">
        <v>74</v>
      </c>
      <c r="BR43" t="s">
        <v>101</v>
      </c>
      <c r="BS43" t="s">
        <v>450</v>
      </c>
      <c r="BT43" t="str">
        <f>HYPERLINK("https%3A%2F%2Fwww.webofscience.com%2Fwos%2Fwoscc%2Ffull-record%2FWOS:000257683100067","View Full Record in Web of Science")</f>
        <v>View Full Record in Web of Science</v>
      </c>
    </row>
    <row r="44" spans="1:72" x14ac:dyDescent="0.15">
      <c r="A44" t="s">
        <v>72</v>
      </c>
      <c r="B44" t="s">
        <v>451</v>
      </c>
      <c r="C44" t="s">
        <v>74</v>
      </c>
      <c r="D44" t="s">
        <v>74</v>
      </c>
      <c r="E44" t="s">
        <v>74</v>
      </c>
      <c r="F44" t="s">
        <v>452</v>
      </c>
      <c r="G44" t="s">
        <v>74</v>
      </c>
      <c r="H44" t="s">
        <v>74</v>
      </c>
      <c r="I44" t="s">
        <v>453</v>
      </c>
      <c r="J44" t="s">
        <v>77</v>
      </c>
      <c r="K44" t="s">
        <v>74</v>
      </c>
      <c r="L44" t="s">
        <v>74</v>
      </c>
      <c r="M44" t="s">
        <v>78</v>
      </c>
      <c r="N44" t="s">
        <v>52</v>
      </c>
      <c r="O44" t="s">
        <v>79</v>
      </c>
      <c r="P44" t="s">
        <v>80</v>
      </c>
      <c r="Q44" t="s">
        <v>81</v>
      </c>
      <c r="R44" t="s">
        <v>74</v>
      </c>
      <c r="S44" t="s">
        <v>82</v>
      </c>
      <c r="T44" t="s">
        <v>74</v>
      </c>
      <c r="U44" t="s">
        <v>454</v>
      </c>
      <c r="V44" t="s">
        <v>74</v>
      </c>
      <c r="W44" t="s">
        <v>455</v>
      </c>
      <c r="X44" t="s">
        <v>456</v>
      </c>
      <c r="Y44" t="s">
        <v>74</v>
      </c>
      <c r="Z44" t="s">
        <v>457</v>
      </c>
      <c r="AA44" t="s">
        <v>74</v>
      </c>
      <c r="AB44" t="s">
        <v>74</v>
      </c>
      <c r="AC44" t="s">
        <v>74</v>
      </c>
      <c r="AD44" t="s">
        <v>74</v>
      </c>
      <c r="AE44" t="s">
        <v>74</v>
      </c>
      <c r="AF44" t="s">
        <v>74</v>
      </c>
      <c r="AG44">
        <v>7</v>
      </c>
      <c r="AH44">
        <v>1</v>
      </c>
      <c r="AI44">
        <v>1</v>
      </c>
      <c r="AJ44">
        <v>0</v>
      </c>
      <c r="AK44">
        <v>0</v>
      </c>
      <c r="AL44" t="s">
        <v>88</v>
      </c>
      <c r="AM44" t="s">
        <v>89</v>
      </c>
      <c r="AN44" t="s">
        <v>90</v>
      </c>
      <c r="AO44" t="s">
        <v>91</v>
      </c>
      <c r="AP44" t="s">
        <v>92</v>
      </c>
      <c r="AQ44" t="s">
        <v>74</v>
      </c>
      <c r="AR44" t="s">
        <v>93</v>
      </c>
      <c r="AS44" t="s">
        <v>94</v>
      </c>
      <c r="AT44" t="s">
        <v>95</v>
      </c>
      <c r="AU44">
        <v>2008</v>
      </c>
      <c r="AV44">
        <v>43</v>
      </c>
      <c r="AW44">
        <v>7</v>
      </c>
      <c r="AX44" t="s">
        <v>74</v>
      </c>
      <c r="AY44" t="s">
        <v>96</v>
      </c>
      <c r="AZ44" t="s">
        <v>74</v>
      </c>
      <c r="BA44" t="s">
        <v>74</v>
      </c>
      <c r="BB44" t="s">
        <v>458</v>
      </c>
      <c r="BC44" t="s">
        <v>458</v>
      </c>
      <c r="BD44" t="s">
        <v>74</v>
      </c>
      <c r="BE44" t="s">
        <v>74</v>
      </c>
      <c r="BF44" t="s">
        <v>74</v>
      </c>
      <c r="BG44" t="s">
        <v>74</v>
      </c>
      <c r="BH44" t="s">
        <v>74</v>
      </c>
      <c r="BI44">
        <v>1</v>
      </c>
      <c r="BJ44" t="s">
        <v>98</v>
      </c>
      <c r="BK44" t="s">
        <v>99</v>
      </c>
      <c r="BL44" t="s">
        <v>98</v>
      </c>
      <c r="BM44" t="s">
        <v>100</v>
      </c>
      <c r="BN44" t="s">
        <v>74</v>
      </c>
      <c r="BO44" t="s">
        <v>74</v>
      </c>
      <c r="BP44" t="s">
        <v>74</v>
      </c>
      <c r="BQ44" t="s">
        <v>74</v>
      </c>
      <c r="BR44" t="s">
        <v>101</v>
      </c>
      <c r="BS44" t="s">
        <v>459</v>
      </c>
      <c r="BT44" t="str">
        <f>HYPERLINK("https%3A%2F%2Fwww.webofscience.com%2Fwos%2Fwoscc%2Ffull-record%2FWOS:000257683100069","View Full Record in Web of Science")</f>
        <v>View Full Record in Web of Science</v>
      </c>
    </row>
    <row r="45" spans="1:72" x14ac:dyDescent="0.15">
      <c r="A45" t="s">
        <v>72</v>
      </c>
      <c r="B45" t="s">
        <v>460</v>
      </c>
      <c r="C45" t="s">
        <v>74</v>
      </c>
      <c r="D45" t="s">
        <v>74</v>
      </c>
      <c r="E45" t="s">
        <v>74</v>
      </c>
      <c r="F45" t="s">
        <v>461</v>
      </c>
      <c r="G45" t="s">
        <v>74</v>
      </c>
      <c r="H45" t="s">
        <v>74</v>
      </c>
      <c r="I45" t="s">
        <v>462</v>
      </c>
      <c r="J45" t="s">
        <v>77</v>
      </c>
      <c r="K45" t="s">
        <v>74</v>
      </c>
      <c r="L45" t="s">
        <v>74</v>
      </c>
      <c r="M45" t="s">
        <v>78</v>
      </c>
      <c r="N45" t="s">
        <v>52</v>
      </c>
      <c r="O45" t="s">
        <v>79</v>
      </c>
      <c r="P45" t="s">
        <v>80</v>
      </c>
      <c r="Q45" t="s">
        <v>81</v>
      </c>
      <c r="R45" t="s">
        <v>74</v>
      </c>
      <c r="S45" t="s">
        <v>82</v>
      </c>
      <c r="T45" t="s">
        <v>74</v>
      </c>
      <c r="U45" t="s">
        <v>74</v>
      </c>
      <c r="V45" t="s">
        <v>74</v>
      </c>
      <c r="W45" t="s">
        <v>463</v>
      </c>
      <c r="X45" t="s">
        <v>464</v>
      </c>
      <c r="Y45" t="s">
        <v>74</v>
      </c>
      <c r="Z45" t="s">
        <v>465</v>
      </c>
      <c r="AA45" t="s">
        <v>74</v>
      </c>
      <c r="AB45" t="s">
        <v>74</v>
      </c>
      <c r="AC45" t="s">
        <v>74</v>
      </c>
      <c r="AD45" t="s">
        <v>74</v>
      </c>
      <c r="AE45" t="s">
        <v>74</v>
      </c>
      <c r="AF45" t="s">
        <v>74</v>
      </c>
      <c r="AG45">
        <v>5</v>
      </c>
      <c r="AH45">
        <v>0</v>
      </c>
      <c r="AI45">
        <v>0</v>
      </c>
      <c r="AJ45">
        <v>0</v>
      </c>
      <c r="AK45">
        <v>1</v>
      </c>
      <c r="AL45" t="s">
        <v>88</v>
      </c>
      <c r="AM45" t="s">
        <v>89</v>
      </c>
      <c r="AN45" t="s">
        <v>90</v>
      </c>
      <c r="AO45" t="s">
        <v>91</v>
      </c>
      <c r="AP45" t="s">
        <v>92</v>
      </c>
      <c r="AQ45" t="s">
        <v>74</v>
      </c>
      <c r="AR45" t="s">
        <v>93</v>
      </c>
      <c r="AS45" t="s">
        <v>94</v>
      </c>
      <c r="AT45" t="s">
        <v>95</v>
      </c>
      <c r="AU45">
        <v>2008</v>
      </c>
      <c r="AV45">
        <v>43</v>
      </c>
      <c r="AW45">
        <v>7</v>
      </c>
      <c r="AX45" t="s">
        <v>74</v>
      </c>
      <c r="AY45" t="s">
        <v>96</v>
      </c>
      <c r="AZ45" t="s">
        <v>74</v>
      </c>
      <c r="BA45" t="s">
        <v>74</v>
      </c>
      <c r="BB45" t="s">
        <v>458</v>
      </c>
      <c r="BC45" t="s">
        <v>458</v>
      </c>
      <c r="BD45" t="s">
        <v>74</v>
      </c>
      <c r="BE45" t="s">
        <v>74</v>
      </c>
      <c r="BF45" t="s">
        <v>74</v>
      </c>
      <c r="BG45" t="s">
        <v>74</v>
      </c>
      <c r="BH45" t="s">
        <v>74</v>
      </c>
      <c r="BI45">
        <v>1</v>
      </c>
      <c r="BJ45" t="s">
        <v>98</v>
      </c>
      <c r="BK45" t="s">
        <v>99</v>
      </c>
      <c r="BL45" t="s">
        <v>98</v>
      </c>
      <c r="BM45" t="s">
        <v>100</v>
      </c>
      <c r="BN45" t="s">
        <v>74</v>
      </c>
      <c r="BO45" t="s">
        <v>74</v>
      </c>
      <c r="BP45" t="s">
        <v>74</v>
      </c>
      <c r="BQ45" t="s">
        <v>74</v>
      </c>
      <c r="BR45" t="s">
        <v>101</v>
      </c>
      <c r="BS45" t="s">
        <v>466</v>
      </c>
      <c r="BT45" t="str">
        <f>HYPERLINK("https%3A%2F%2Fwww.webofscience.com%2Fwos%2Fwoscc%2Ffull-record%2FWOS:000257683100070","View Full Record in Web of Science")</f>
        <v>View Full Record in Web of Science</v>
      </c>
    </row>
    <row r="46" spans="1:72" x14ac:dyDescent="0.15">
      <c r="A46" t="s">
        <v>72</v>
      </c>
      <c r="B46" t="s">
        <v>467</v>
      </c>
      <c r="C46" t="s">
        <v>74</v>
      </c>
      <c r="D46" t="s">
        <v>74</v>
      </c>
      <c r="E46" t="s">
        <v>74</v>
      </c>
      <c r="F46" t="s">
        <v>468</v>
      </c>
      <c r="G46" t="s">
        <v>74</v>
      </c>
      <c r="H46" t="s">
        <v>74</v>
      </c>
      <c r="I46" t="s">
        <v>469</v>
      </c>
      <c r="J46" t="s">
        <v>77</v>
      </c>
      <c r="K46" t="s">
        <v>74</v>
      </c>
      <c r="L46" t="s">
        <v>74</v>
      </c>
      <c r="M46" t="s">
        <v>78</v>
      </c>
      <c r="N46" t="s">
        <v>52</v>
      </c>
      <c r="O46" t="s">
        <v>79</v>
      </c>
      <c r="P46" t="s">
        <v>80</v>
      </c>
      <c r="Q46" t="s">
        <v>81</v>
      </c>
      <c r="R46" t="s">
        <v>74</v>
      </c>
      <c r="S46" t="s">
        <v>82</v>
      </c>
      <c r="T46" t="s">
        <v>74</v>
      </c>
      <c r="U46" t="s">
        <v>74</v>
      </c>
      <c r="V46" t="s">
        <v>74</v>
      </c>
      <c r="W46" t="s">
        <v>470</v>
      </c>
      <c r="X46" t="s">
        <v>471</v>
      </c>
      <c r="Y46" t="s">
        <v>74</v>
      </c>
      <c r="Z46" t="s">
        <v>472</v>
      </c>
      <c r="AA46" t="s">
        <v>74</v>
      </c>
      <c r="AB46" t="s">
        <v>74</v>
      </c>
      <c r="AC46" t="s">
        <v>74</v>
      </c>
      <c r="AD46" t="s">
        <v>74</v>
      </c>
      <c r="AE46" t="s">
        <v>74</v>
      </c>
      <c r="AF46" t="s">
        <v>74</v>
      </c>
      <c r="AG46">
        <v>4</v>
      </c>
      <c r="AH46">
        <v>1</v>
      </c>
      <c r="AI46">
        <v>1</v>
      </c>
      <c r="AJ46">
        <v>0</v>
      </c>
      <c r="AK46">
        <v>0</v>
      </c>
      <c r="AL46" t="s">
        <v>149</v>
      </c>
      <c r="AM46" t="s">
        <v>150</v>
      </c>
      <c r="AN46" t="s">
        <v>151</v>
      </c>
      <c r="AO46" t="s">
        <v>91</v>
      </c>
      <c r="AP46" t="s">
        <v>74</v>
      </c>
      <c r="AQ46" t="s">
        <v>74</v>
      </c>
      <c r="AR46" t="s">
        <v>93</v>
      </c>
      <c r="AS46" t="s">
        <v>94</v>
      </c>
      <c r="AT46" t="s">
        <v>95</v>
      </c>
      <c r="AU46">
        <v>2008</v>
      </c>
      <c r="AV46">
        <v>43</v>
      </c>
      <c r="AW46">
        <v>7</v>
      </c>
      <c r="AX46" t="s">
        <v>74</v>
      </c>
      <c r="AY46" t="s">
        <v>96</v>
      </c>
      <c r="AZ46" t="s">
        <v>74</v>
      </c>
      <c r="BA46" t="s">
        <v>74</v>
      </c>
      <c r="BB46" t="s">
        <v>473</v>
      </c>
      <c r="BC46" t="s">
        <v>473</v>
      </c>
      <c r="BD46" t="s">
        <v>74</v>
      </c>
      <c r="BE46" t="s">
        <v>74</v>
      </c>
      <c r="BF46" t="s">
        <v>74</v>
      </c>
      <c r="BG46" t="s">
        <v>74</v>
      </c>
      <c r="BH46" t="s">
        <v>74</v>
      </c>
      <c r="BI46">
        <v>1</v>
      </c>
      <c r="BJ46" t="s">
        <v>98</v>
      </c>
      <c r="BK46" t="s">
        <v>99</v>
      </c>
      <c r="BL46" t="s">
        <v>98</v>
      </c>
      <c r="BM46" t="s">
        <v>100</v>
      </c>
      <c r="BN46" t="s">
        <v>74</v>
      </c>
      <c r="BO46" t="s">
        <v>74</v>
      </c>
      <c r="BP46" t="s">
        <v>74</v>
      </c>
      <c r="BQ46" t="s">
        <v>74</v>
      </c>
      <c r="BR46" t="s">
        <v>101</v>
      </c>
      <c r="BS46" t="s">
        <v>474</v>
      </c>
      <c r="BT46" t="str">
        <f>HYPERLINK("https%3A%2F%2Fwww.webofscience.com%2Fwos%2Fwoscc%2Ffull-record%2FWOS:000257683100071","View Full Record in Web of Science")</f>
        <v>View Full Record in Web of Science</v>
      </c>
    </row>
    <row r="47" spans="1:72" x14ac:dyDescent="0.15">
      <c r="A47" t="s">
        <v>72</v>
      </c>
      <c r="B47" t="s">
        <v>475</v>
      </c>
      <c r="C47" t="s">
        <v>74</v>
      </c>
      <c r="D47" t="s">
        <v>74</v>
      </c>
      <c r="E47" t="s">
        <v>74</v>
      </c>
      <c r="F47" t="s">
        <v>476</v>
      </c>
      <c r="G47" t="s">
        <v>74</v>
      </c>
      <c r="H47" t="s">
        <v>74</v>
      </c>
      <c r="I47" t="s">
        <v>477</v>
      </c>
      <c r="J47" t="s">
        <v>77</v>
      </c>
      <c r="K47" t="s">
        <v>74</v>
      </c>
      <c r="L47" t="s">
        <v>74</v>
      </c>
      <c r="M47" t="s">
        <v>78</v>
      </c>
      <c r="N47" t="s">
        <v>52</v>
      </c>
      <c r="O47" t="s">
        <v>79</v>
      </c>
      <c r="P47" t="s">
        <v>80</v>
      </c>
      <c r="Q47" t="s">
        <v>81</v>
      </c>
      <c r="R47" t="s">
        <v>74</v>
      </c>
      <c r="S47" t="s">
        <v>82</v>
      </c>
      <c r="T47" t="s">
        <v>74</v>
      </c>
      <c r="U47" t="s">
        <v>74</v>
      </c>
      <c r="V47" t="s">
        <v>74</v>
      </c>
      <c r="W47" t="s">
        <v>478</v>
      </c>
      <c r="X47" t="s">
        <v>479</v>
      </c>
      <c r="Y47" t="s">
        <v>74</v>
      </c>
      <c r="Z47" t="s">
        <v>480</v>
      </c>
      <c r="AA47" t="s">
        <v>74</v>
      </c>
      <c r="AB47" t="s">
        <v>74</v>
      </c>
      <c r="AC47" t="s">
        <v>74</v>
      </c>
      <c r="AD47" t="s">
        <v>74</v>
      </c>
      <c r="AE47" t="s">
        <v>74</v>
      </c>
      <c r="AF47" t="s">
        <v>74</v>
      </c>
      <c r="AG47">
        <v>3</v>
      </c>
      <c r="AH47">
        <v>0</v>
      </c>
      <c r="AI47">
        <v>0</v>
      </c>
      <c r="AJ47">
        <v>0</v>
      </c>
      <c r="AK47">
        <v>0</v>
      </c>
      <c r="AL47" t="s">
        <v>109</v>
      </c>
      <c r="AM47" t="s">
        <v>110</v>
      </c>
      <c r="AN47" t="s">
        <v>111</v>
      </c>
      <c r="AO47" t="s">
        <v>91</v>
      </c>
      <c r="AP47" t="s">
        <v>74</v>
      </c>
      <c r="AQ47" t="s">
        <v>74</v>
      </c>
      <c r="AR47" t="s">
        <v>93</v>
      </c>
      <c r="AS47" t="s">
        <v>94</v>
      </c>
      <c r="AT47" t="s">
        <v>95</v>
      </c>
      <c r="AU47">
        <v>2008</v>
      </c>
      <c r="AV47">
        <v>43</v>
      </c>
      <c r="AW47">
        <v>7</v>
      </c>
      <c r="AX47" t="s">
        <v>74</v>
      </c>
      <c r="AY47" t="s">
        <v>96</v>
      </c>
      <c r="AZ47" t="s">
        <v>74</v>
      </c>
      <c r="BA47" t="s">
        <v>74</v>
      </c>
      <c r="BB47" t="s">
        <v>473</v>
      </c>
      <c r="BC47" t="s">
        <v>473</v>
      </c>
      <c r="BD47" t="s">
        <v>74</v>
      </c>
      <c r="BE47" t="s">
        <v>74</v>
      </c>
      <c r="BF47" t="s">
        <v>74</v>
      </c>
      <c r="BG47" t="s">
        <v>74</v>
      </c>
      <c r="BH47" t="s">
        <v>74</v>
      </c>
      <c r="BI47">
        <v>1</v>
      </c>
      <c r="BJ47" t="s">
        <v>98</v>
      </c>
      <c r="BK47" t="s">
        <v>113</v>
      </c>
      <c r="BL47" t="s">
        <v>98</v>
      </c>
      <c r="BM47" t="s">
        <v>100</v>
      </c>
      <c r="BN47" t="s">
        <v>74</v>
      </c>
      <c r="BO47" t="s">
        <v>74</v>
      </c>
      <c r="BP47" t="s">
        <v>74</v>
      </c>
      <c r="BQ47" t="s">
        <v>74</v>
      </c>
      <c r="BR47" t="s">
        <v>101</v>
      </c>
      <c r="BS47" t="s">
        <v>481</v>
      </c>
      <c r="BT47" t="str">
        <f>HYPERLINK("https%3A%2F%2Fwww.webofscience.com%2Fwos%2Fwoscc%2Ffull-record%2FWOS:000257683100072","View Full Record in Web of Science")</f>
        <v>View Full Record in Web of Science</v>
      </c>
    </row>
    <row r="48" spans="1:72" x14ac:dyDescent="0.15">
      <c r="A48" t="s">
        <v>72</v>
      </c>
      <c r="B48" t="s">
        <v>482</v>
      </c>
      <c r="C48" t="s">
        <v>74</v>
      </c>
      <c r="D48" t="s">
        <v>74</v>
      </c>
      <c r="E48" t="s">
        <v>74</v>
      </c>
      <c r="F48" t="s">
        <v>483</v>
      </c>
      <c r="G48" t="s">
        <v>74</v>
      </c>
      <c r="H48" t="s">
        <v>74</v>
      </c>
      <c r="I48" t="s">
        <v>484</v>
      </c>
      <c r="J48" t="s">
        <v>77</v>
      </c>
      <c r="K48" t="s">
        <v>74</v>
      </c>
      <c r="L48" t="s">
        <v>74</v>
      </c>
      <c r="M48" t="s">
        <v>78</v>
      </c>
      <c r="N48" t="s">
        <v>52</v>
      </c>
      <c r="O48" t="s">
        <v>79</v>
      </c>
      <c r="P48" t="s">
        <v>80</v>
      </c>
      <c r="Q48" t="s">
        <v>81</v>
      </c>
      <c r="R48" t="s">
        <v>74</v>
      </c>
      <c r="S48" t="s">
        <v>82</v>
      </c>
      <c r="T48" t="s">
        <v>74</v>
      </c>
      <c r="U48" t="s">
        <v>485</v>
      </c>
      <c r="V48" t="s">
        <v>74</v>
      </c>
      <c r="W48" t="s">
        <v>486</v>
      </c>
      <c r="X48" t="s">
        <v>487</v>
      </c>
      <c r="Y48" t="s">
        <v>74</v>
      </c>
      <c r="Z48" t="s">
        <v>488</v>
      </c>
      <c r="AA48" t="s">
        <v>74</v>
      </c>
      <c r="AB48" t="s">
        <v>74</v>
      </c>
      <c r="AC48" t="s">
        <v>74</v>
      </c>
      <c r="AD48" t="s">
        <v>74</v>
      </c>
      <c r="AE48" t="s">
        <v>74</v>
      </c>
      <c r="AF48" t="s">
        <v>74</v>
      </c>
      <c r="AG48">
        <v>5</v>
      </c>
      <c r="AH48">
        <v>0</v>
      </c>
      <c r="AI48">
        <v>0</v>
      </c>
      <c r="AJ48">
        <v>0</v>
      </c>
      <c r="AK48">
        <v>1</v>
      </c>
      <c r="AL48" t="s">
        <v>88</v>
      </c>
      <c r="AM48" t="s">
        <v>89</v>
      </c>
      <c r="AN48" t="s">
        <v>90</v>
      </c>
      <c r="AO48" t="s">
        <v>91</v>
      </c>
      <c r="AP48" t="s">
        <v>92</v>
      </c>
      <c r="AQ48" t="s">
        <v>74</v>
      </c>
      <c r="AR48" t="s">
        <v>93</v>
      </c>
      <c r="AS48" t="s">
        <v>94</v>
      </c>
      <c r="AT48" t="s">
        <v>95</v>
      </c>
      <c r="AU48">
        <v>2008</v>
      </c>
      <c r="AV48">
        <v>43</v>
      </c>
      <c r="AW48">
        <v>7</v>
      </c>
      <c r="AX48" t="s">
        <v>74</v>
      </c>
      <c r="AY48" t="s">
        <v>96</v>
      </c>
      <c r="AZ48" t="s">
        <v>74</v>
      </c>
      <c r="BA48" t="s">
        <v>74</v>
      </c>
      <c r="BB48" t="s">
        <v>489</v>
      </c>
      <c r="BC48" t="s">
        <v>489</v>
      </c>
      <c r="BD48" t="s">
        <v>74</v>
      </c>
      <c r="BE48" t="s">
        <v>74</v>
      </c>
      <c r="BF48" t="s">
        <v>74</v>
      </c>
      <c r="BG48" t="s">
        <v>74</v>
      </c>
      <c r="BH48" t="s">
        <v>74</v>
      </c>
      <c r="BI48">
        <v>1</v>
      </c>
      <c r="BJ48" t="s">
        <v>98</v>
      </c>
      <c r="BK48" t="s">
        <v>99</v>
      </c>
      <c r="BL48" t="s">
        <v>98</v>
      </c>
      <c r="BM48" t="s">
        <v>100</v>
      </c>
      <c r="BN48" t="s">
        <v>74</v>
      </c>
      <c r="BO48" t="s">
        <v>74</v>
      </c>
      <c r="BP48" t="s">
        <v>74</v>
      </c>
      <c r="BQ48" t="s">
        <v>74</v>
      </c>
      <c r="BR48" t="s">
        <v>101</v>
      </c>
      <c r="BS48" t="s">
        <v>490</v>
      </c>
      <c r="BT48" t="str">
        <f>HYPERLINK("https%3A%2F%2Fwww.webofscience.com%2Fwos%2Fwoscc%2Ffull-record%2FWOS:000257683100073","View Full Record in Web of Science")</f>
        <v>View Full Record in Web of Science</v>
      </c>
    </row>
    <row r="49" spans="1:72" x14ac:dyDescent="0.15">
      <c r="A49" t="s">
        <v>72</v>
      </c>
      <c r="B49" t="s">
        <v>491</v>
      </c>
      <c r="C49" t="s">
        <v>74</v>
      </c>
      <c r="D49" t="s">
        <v>74</v>
      </c>
      <c r="E49" t="s">
        <v>74</v>
      </c>
      <c r="F49" t="s">
        <v>492</v>
      </c>
      <c r="G49" t="s">
        <v>74</v>
      </c>
      <c r="H49" t="s">
        <v>74</v>
      </c>
      <c r="I49" t="s">
        <v>493</v>
      </c>
      <c r="J49" t="s">
        <v>77</v>
      </c>
      <c r="K49" t="s">
        <v>74</v>
      </c>
      <c r="L49" t="s">
        <v>74</v>
      </c>
      <c r="M49" t="s">
        <v>78</v>
      </c>
      <c r="N49" t="s">
        <v>52</v>
      </c>
      <c r="O49" t="s">
        <v>79</v>
      </c>
      <c r="P49" t="s">
        <v>80</v>
      </c>
      <c r="Q49" t="s">
        <v>81</v>
      </c>
      <c r="R49" t="s">
        <v>74</v>
      </c>
      <c r="S49" t="s">
        <v>82</v>
      </c>
      <c r="T49" t="s">
        <v>74</v>
      </c>
      <c r="U49" t="s">
        <v>74</v>
      </c>
      <c r="V49" t="s">
        <v>74</v>
      </c>
      <c r="W49" t="s">
        <v>494</v>
      </c>
      <c r="X49" t="s">
        <v>495</v>
      </c>
      <c r="Y49" t="s">
        <v>74</v>
      </c>
      <c r="Z49" t="s">
        <v>488</v>
      </c>
      <c r="AA49" t="s">
        <v>74</v>
      </c>
      <c r="AB49" t="s">
        <v>74</v>
      </c>
      <c r="AC49" t="s">
        <v>74</v>
      </c>
      <c r="AD49" t="s">
        <v>74</v>
      </c>
      <c r="AE49" t="s">
        <v>74</v>
      </c>
      <c r="AF49" t="s">
        <v>74</v>
      </c>
      <c r="AG49">
        <v>3</v>
      </c>
      <c r="AH49">
        <v>0</v>
      </c>
      <c r="AI49">
        <v>0</v>
      </c>
      <c r="AJ49">
        <v>0</v>
      </c>
      <c r="AK49">
        <v>4</v>
      </c>
      <c r="AL49" t="s">
        <v>88</v>
      </c>
      <c r="AM49" t="s">
        <v>89</v>
      </c>
      <c r="AN49" t="s">
        <v>90</v>
      </c>
      <c r="AO49" t="s">
        <v>91</v>
      </c>
      <c r="AP49" t="s">
        <v>92</v>
      </c>
      <c r="AQ49" t="s">
        <v>74</v>
      </c>
      <c r="AR49" t="s">
        <v>93</v>
      </c>
      <c r="AS49" t="s">
        <v>94</v>
      </c>
      <c r="AT49" t="s">
        <v>95</v>
      </c>
      <c r="AU49">
        <v>2008</v>
      </c>
      <c r="AV49">
        <v>43</v>
      </c>
      <c r="AW49">
        <v>7</v>
      </c>
      <c r="AX49" t="s">
        <v>74</v>
      </c>
      <c r="AY49" t="s">
        <v>96</v>
      </c>
      <c r="AZ49" t="s">
        <v>74</v>
      </c>
      <c r="BA49" t="s">
        <v>74</v>
      </c>
      <c r="BB49" t="s">
        <v>489</v>
      </c>
      <c r="BC49" t="s">
        <v>489</v>
      </c>
      <c r="BD49" t="s">
        <v>74</v>
      </c>
      <c r="BE49" t="s">
        <v>74</v>
      </c>
      <c r="BF49" t="s">
        <v>74</v>
      </c>
      <c r="BG49" t="s">
        <v>74</v>
      </c>
      <c r="BH49" t="s">
        <v>74</v>
      </c>
      <c r="BI49">
        <v>1</v>
      </c>
      <c r="BJ49" t="s">
        <v>98</v>
      </c>
      <c r="BK49" t="s">
        <v>99</v>
      </c>
      <c r="BL49" t="s">
        <v>98</v>
      </c>
      <c r="BM49" t="s">
        <v>100</v>
      </c>
      <c r="BN49" t="s">
        <v>74</v>
      </c>
      <c r="BO49" t="s">
        <v>74</v>
      </c>
      <c r="BP49" t="s">
        <v>74</v>
      </c>
      <c r="BQ49" t="s">
        <v>74</v>
      </c>
      <c r="BR49" t="s">
        <v>101</v>
      </c>
      <c r="BS49" t="s">
        <v>496</v>
      </c>
      <c r="BT49" t="str">
        <f>HYPERLINK("https%3A%2F%2Fwww.webofscience.com%2Fwos%2Fwoscc%2Ffull-record%2FWOS:000257683100074","View Full Record in Web of Science")</f>
        <v>View Full Record in Web of Science</v>
      </c>
    </row>
    <row r="50" spans="1:72" x14ac:dyDescent="0.15">
      <c r="A50" t="s">
        <v>72</v>
      </c>
      <c r="B50" t="s">
        <v>497</v>
      </c>
      <c r="C50" t="s">
        <v>74</v>
      </c>
      <c r="D50" t="s">
        <v>74</v>
      </c>
      <c r="E50" t="s">
        <v>74</v>
      </c>
      <c r="F50" t="s">
        <v>498</v>
      </c>
      <c r="G50" t="s">
        <v>74</v>
      </c>
      <c r="H50" t="s">
        <v>74</v>
      </c>
      <c r="I50" t="s">
        <v>499</v>
      </c>
      <c r="J50" t="s">
        <v>77</v>
      </c>
      <c r="K50" t="s">
        <v>74</v>
      </c>
      <c r="L50" t="s">
        <v>74</v>
      </c>
      <c r="M50" t="s">
        <v>78</v>
      </c>
      <c r="N50" t="s">
        <v>52</v>
      </c>
      <c r="O50" t="s">
        <v>79</v>
      </c>
      <c r="P50" t="s">
        <v>80</v>
      </c>
      <c r="Q50" t="s">
        <v>81</v>
      </c>
      <c r="R50" t="s">
        <v>74</v>
      </c>
      <c r="S50" t="s">
        <v>82</v>
      </c>
      <c r="T50" t="s">
        <v>74</v>
      </c>
      <c r="U50" t="s">
        <v>500</v>
      </c>
      <c r="V50" t="s">
        <v>74</v>
      </c>
      <c r="W50" t="s">
        <v>501</v>
      </c>
      <c r="X50" t="s">
        <v>502</v>
      </c>
      <c r="Y50" t="s">
        <v>74</v>
      </c>
      <c r="Z50" t="s">
        <v>503</v>
      </c>
      <c r="AA50" t="s">
        <v>74</v>
      </c>
      <c r="AB50" t="s">
        <v>74</v>
      </c>
      <c r="AC50" t="s">
        <v>74</v>
      </c>
      <c r="AD50" t="s">
        <v>74</v>
      </c>
      <c r="AE50" t="s">
        <v>74</v>
      </c>
      <c r="AF50" t="s">
        <v>74</v>
      </c>
      <c r="AG50">
        <v>5</v>
      </c>
      <c r="AH50">
        <v>0</v>
      </c>
      <c r="AI50">
        <v>0</v>
      </c>
      <c r="AJ50">
        <v>0</v>
      </c>
      <c r="AK50">
        <v>0</v>
      </c>
      <c r="AL50" t="s">
        <v>88</v>
      </c>
      <c r="AM50" t="s">
        <v>89</v>
      </c>
      <c r="AN50" t="s">
        <v>90</v>
      </c>
      <c r="AO50" t="s">
        <v>91</v>
      </c>
      <c r="AP50" t="s">
        <v>92</v>
      </c>
      <c r="AQ50" t="s">
        <v>74</v>
      </c>
      <c r="AR50" t="s">
        <v>93</v>
      </c>
      <c r="AS50" t="s">
        <v>94</v>
      </c>
      <c r="AT50" t="s">
        <v>95</v>
      </c>
      <c r="AU50">
        <v>2008</v>
      </c>
      <c r="AV50">
        <v>43</v>
      </c>
      <c r="AW50">
        <v>7</v>
      </c>
      <c r="AX50" t="s">
        <v>74</v>
      </c>
      <c r="AY50" t="s">
        <v>96</v>
      </c>
      <c r="AZ50" t="s">
        <v>74</v>
      </c>
      <c r="BA50" t="s">
        <v>74</v>
      </c>
      <c r="BB50" t="s">
        <v>504</v>
      </c>
      <c r="BC50" t="s">
        <v>504</v>
      </c>
      <c r="BD50" t="s">
        <v>74</v>
      </c>
      <c r="BE50" t="s">
        <v>74</v>
      </c>
      <c r="BF50" t="s">
        <v>74</v>
      </c>
      <c r="BG50" t="s">
        <v>74</v>
      </c>
      <c r="BH50" t="s">
        <v>74</v>
      </c>
      <c r="BI50">
        <v>1</v>
      </c>
      <c r="BJ50" t="s">
        <v>98</v>
      </c>
      <c r="BK50" t="s">
        <v>99</v>
      </c>
      <c r="BL50" t="s">
        <v>98</v>
      </c>
      <c r="BM50" t="s">
        <v>100</v>
      </c>
      <c r="BN50" t="s">
        <v>74</v>
      </c>
      <c r="BO50" t="s">
        <v>74</v>
      </c>
      <c r="BP50" t="s">
        <v>74</v>
      </c>
      <c r="BQ50" t="s">
        <v>74</v>
      </c>
      <c r="BR50" t="s">
        <v>101</v>
      </c>
      <c r="BS50" t="s">
        <v>505</v>
      </c>
      <c r="BT50" t="str">
        <f>HYPERLINK("https%3A%2F%2Fwww.webofscience.com%2Fwos%2Fwoscc%2Ffull-record%2FWOS:000257683100075","View Full Record in Web of Science")</f>
        <v>View Full Record in Web of Science</v>
      </c>
    </row>
    <row r="51" spans="1:72" x14ac:dyDescent="0.15">
      <c r="A51" t="s">
        <v>72</v>
      </c>
      <c r="B51" t="s">
        <v>506</v>
      </c>
      <c r="C51" t="s">
        <v>74</v>
      </c>
      <c r="D51" t="s">
        <v>74</v>
      </c>
      <c r="E51" t="s">
        <v>74</v>
      </c>
      <c r="F51" t="s">
        <v>507</v>
      </c>
      <c r="G51" t="s">
        <v>74</v>
      </c>
      <c r="H51" t="s">
        <v>74</v>
      </c>
      <c r="I51" t="s">
        <v>508</v>
      </c>
      <c r="J51" t="s">
        <v>77</v>
      </c>
      <c r="K51" t="s">
        <v>74</v>
      </c>
      <c r="L51" t="s">
        <v>74</v>
      </c>
      <c r="M51" t="s">
        <v>78</v>
      </c>
      <c r="N51" t="s">
        <v>52</v>
      </c>
      <c r="O51" t="s">
        <v>79</v>
      </c>
      <c r="P51" t="s">
        <v>80</v>
      </c>
      <c r="Q51" t="s">
        <v>81</v>
      </c>
      <c r="R51" t="s">
        <v>74</v>
      </c>
      <c r="S51" t="s">
        <v>82</v>
      </c>
      <c r="T51" t="s">
        <v>74</v>
      </c>
      <c r="U51" t="s">
        <v>74</v>
      </c>
      <c r="V51" t="s">
        <v>74</v>
      </c>
      <c r="W51" t="s">
        <v>509</v>
      </c>
      <c r="X51" t="s">
        <v>510</v>
      </c>
      <c r="Y51" t="s">
        <v>74</v>
      </c>
      <c r="Z51" t="s">
        <v>511</v>
      </c>
      <c r="AA51" t="s">
        <v>74</v>
      </c>
      <c r="AB51" t="s">
        <v>74</v>
      </c>
      <c r="AC51" t="s">
        <v>512</v>
      </c>
      <c r="AD51" t="s">
        <v>333</v>
      </c>
      <c r="AE51" t="s">
        <v>74</v>
      </c>
      <c r="AF51" t="s">
        <v>74</v>
      </c>
      <c r="AG51">
        <v>4</v>
      </c>
      <c r="AH51">
        <v>4</v>
      </c>
      <c r="AI51">
        <v>4</v>
      </c>
      <c r="AJ51">
        <v>0</v>
      </c>
      <c r="AK51">
        <v>2</v>
      </c>
      <c r="AL51" t="s">
        <v>109</v>
      </c>
      <c r="AM51" t="s">
        <v>110</v>
      </c>
      <c r="AN51" t="s">
        <v>111</v>
      </c>
      <c r="AO51" t="s">
        <v>91</v>
      </c>
      <c r="AP51" t="s">
        <v>74</v>
      </c>
      <c r="AQ51" t="s">
        <v>74</v>
      </c>
      <c r="AR51" t="s">
        <v>93</v>
      </c>
      <c r="AS51" t="s">
        <v>94</v>
      </c>
      <c r="AT51" t="s">
        <v>95</v>
      </c>
      <c r="AU51">
        <v>2008</v>
      </c>
      <c r="AV51">
        <v>43</v>
      </c>
      <c r="AW51">
        <v>7</v>
      </c>
      <c r="AX51" t="s">
        <v>74</v>
      </c>
      <c r="AY51" t="s">
        <v>96</v>
      </c>
      <c r="AZ51" t="s">
        <v>74</v>
      </c>
      <c r="BA51" t="s">
        <v>74</v>
      </c>
      <c r="BB51" t="s">
        <v>513</v>
      </c>
      <c r="BC51" t="s">
        <v>513</v>
      </c>
      <c r="BD51" t="s">
        <v>74</v>
      </c>
      <c r="BE51" t="s">
        <v>74</v>
      </c>
      <c r="BF51" t="s">
        <v>74</v>
      </c>
      <c r="BG51" t="s">
        <v>74</v>
      </c>
      <c r="BH51" t="s">
        <v>74</v>
      </c>
      <c r="BI51">
        <v>1</v>
      </c>
      <c r="BJ51" t="s">
        <v>98</v>
      </c>
      <c r="BK51" t="s">
        <v>113</v>
      </c>
      <c r="BL51" t="s">
        <v>98</v>
      </c>
      <c r="BM51" t="s">
        <v>100</v>
      </c>
      <c r="BN51" t="s">
        <v>74</v>
      </c>
      <c r="BO51" t="s">
        <v>74</v>
      </c>
      <c r="BP51" t="s">
        <v>74</v>
      </c>
      <c r="BQ51" t="s">
        <v>74</v>
      </c>
      <c r="BR51" t="s">
        <v>101</v>
      </c>
      <c r="BS51" t="s">
        <v>514</v>
      </c>
      <c r="BT51" t="str">
        <f>HYPERLINK("https%3A%2F%2Fwww.webofscience.com%2Fwos%2Fwoscc%2Ffull-record%2FWOS:000257683100340","View Full Record in Web of Science")</f>
        <v>View Full Record in Web of Science</v>
      </c>
    </row>
    <row r="52" spans="1:72" x14ac:dyDescent="0.15">
      <c r="A52" t="s">
        <v>72</v>
      </c>
      <c r="B52" t="s">
        <v>515</v>
      </c>
      <c r="C52" t="s">
        <v>74</v>
      </c>
      <c r="D52" t="s">
        <v>74</v>
      </c>
      <c r="E52" t="s">
        <v>74</v>
      </c>
      <c r="F52" t="s">
        <v>516</v>
      </c>
      <c r="G52" t="s">
        <v>74</v>
      </c>
      <c r="H52" t="s">
        <v>74</v>
      </c>
      <c r="I52" t="s">
        <v>517</v>
      </c>
      <c r="J52" t="s">
        <v>77</v>
      </c>
      <c r="K52" t="s">
        <v>74</v>
      </c>
      <c r="L52" t="s">
        <v>74</v>
      </c>
      <c r="M52" t="s">
        <v>78</v>
      </c>
      <c r="N52" t="s">
        <v>52</v>
      </c>
      <c r="O52" t="s">
        <v>79</v>
      </c>
      <c r="P52" t="s">
        <v>80</v>
      </c>
      <c r="Q52" t="s">
        <v>81</v>
      </c>
      <c r="R52" t="s">
        <v>74</v>
      </c>
      <c r="S52" t="s">
        <v>82</v>
      </c>
      <c r="T52" t="s">
        <v>74</v>
      </c>
      <c r="U52" t="s">
        <v>74</v>
      </c>
      <c r="V52" t="s">
        <v>74</v>
      </c>
      <c r="W52" t="s">
        <v>518</v>
      </c>
      <c r="X52" t="s">
        <v>519</v>
      </c>
      <c r="Y52" t="s">
        <v>74</v>
      </c>
      <c r="Z52" t="s">
        <v>511</v>
      </c>
      <c r="AA52" t="s">
        <v>520</v>
      </c>
      <c r="AB52" t="s">
        <v>74</v>
      </c>
      <c r="AC52" t="s">
        <v>521</v>
      </c>
      <c r="AD52" t="s">
        <v>522</v>
      </c>
      <c r="AE52" t="s">
        <v>74</v>
      </c>
      <c r="AF52" t="s">
        <v>74</v>
      </c>
      <c r="AG52">
        <v>6</v>
      </c>
      <c r="AH52">
        <v>2</v>
      </c>
      <c r="AI52">
        <v>2</v>
      </c>
      <c r="AJ52">
        <v>0</v>
      </c>
      <c r="AK52">
        <v>1</v>
      </c>
      <c r="AL52" t="s">
        <v>109</v>
      </c>
      <c r="AM52" t="s">
        <v>110</v>
      </c>
      <c r="AN52" t="s">
        <v>111</v>
      </c>
      <c r="AO52" t="s">
        <v>91</v>
      </c>
      <c r="AP52" t="s">
        <v>74</v>
      </c>
      <c r="AQ52" t="s">
        <v>74</v>
      </c>
      <c r="AR52" t="s">
        <v>93</v>
      </c>
      <c r="AS52" t="s">
        <v>94</v>
      </c>
      <c r="AT52" t="s">
        <v>95</v>
      </c>
      <c r="AU52">
        <v>2008</v>
      </c>
      <c r="AV52">
        <v>43</v>
      </c>
      <c r="AW52">
        <v>7</v>
      </c>
      <c r="AX52" t="s">
        <v>74</v>
      </c>
      <c r="AY52" t="s">
        <v>96</v>
      </c>
      <c r="AZ52" t="s">
        <v>74</v>
      </c>
      <c r="BA52" t="s">
        <v>74</v>
      </c>
      <c r="BB52" t="s">
        <v>504</v>
      </c>
      <c r="BC52" t="s">
        <v>504</v>
      </c>
      <c r="BD52" t="s">
        <v>74</v>
      </c>
      <c r="BE52" t="s">
        <v>74</v>
      </c>
      <c r="BF52" t="s">
        <v>74</v>
      </c>
      <c r="BG52" t="s">
        <v>74</v>
      </c>
      <c r="BH52" t="s">
        <v>74</v>
      </c>
      <c r="BI52">
        <v>1</v>
      </c>
      <c r="BJ52" t="s">
        <v>98</v>
      </c>
      <c r="BK52" t="s">
        <v>113</v>
      </c>
      <c r="BL52" t="s">
        <v>98</v>
      </c>
      <c r="BM52" t="s">
        <v>100</v>
      </c>
      <c r="BN52" t="s">
        <v>74</v>
      </c>
      <c r="BO52" t="s">
        <v>74</v>
      </c>
      <c r="BP52" t="s">
        <v>74</v>
      </c>
      <c r="BQ52" t="s">
        <v>74</v>
      </c>
      <c r="BR52" t="s">
        <v>101</v>
      </c>
      <c r="BS52" t="s">
        <v>523</v>
      </c>
      <c r="BT52" t="str">
        <f>HYPERLINK("https%3A%2F%2Fwww.webofscience.com%2Fwos%2Fwoscc%2Ffull-record%2FWOS:000257683100076","View Full Record in Web of Science")</f>
        <v>View Full Record in Web of Science</v>
      </c>
    </row>
    <row r="53" spans="1:72" x14ac:dyDescent="0.15">
      <c r="A53" t="s">
        <v>72</v>
      </c>
      <c r="B53" t="s">
        <v>524</v>
      </c>
      <c r="C53" t="s">
        <v>74</v>
      </c>
      <c r="D53" t="s">
        <v>74</v>
      </c>
      <c r="E53" t="s">
        <v>74</v>
      </c>
      <c r="F53" t="s">
        <v>525</v>
      </c>
      <c r="G53" t="s">
        <v>74</v>
      </c>
      <c r="H53" t="s">
        <v>74</v>
      </c>
      <c r="I53" t="s">
        <v>526</v>
      </c>
      <c r="J53" t="s">
        <v>77</v>
      </c>
      <c r="K53" t="s">
        <v>74</v>
      </c>
      <c r="L53" t="s">
        <v>74</v>
      </c>
      <c r="M53" t="s">
        <v>78</v>
      </c>
      <c r="N53" t="s">
        <v>52</v>
      </c>
      <c r="O53" t="s">
        <v>79</v>
      </c>
      <c r="P53" t="s">
        <v>80</v>
      </c>
      <c r="Q53" t="s">
        <v>81</v>
      </c>
      <c r="R53" t="s">
        <v>74</v>
      </c>
      <c r="S53" t="s">
        <v>82</v>
      </c>
      <c r="T53" t="s">
        <v>74</v>
      </c>
      <c r="U53" t="s">
        <v>527</v>
      </c>
      <c r="V53" t="s">
        <v>74</v>
      </c>
      <c r="W53" t="s">
        <v>528</v>
      </c>
      <c r="X53" t="s">
        <v>529</v>
      </c>
      <c r="Y53" t="s">
        <v>74</v>
      </c>
      <c r="Z53" t="s">
        <v>530</v>
      </c>
      <c r="AA53" t="s">
        <v>74</v>
      </c>
      <c r="AB53" t="s">
        <v>531</v>
      </c>
      <c r="AC53" t="s">
        <v>74</v>
      </c>
      <c r="AD53" t="s">
        <v>74</v>
      </c>
      <c r="AE53" t="s">
        <v>74</v>
      </c>
      <c r="AF53" t="s">
        <v>74</v>
      </c>
      <c r="AG53">
        <v>4</v>
      </c>
      <c r="AH53">
        <v>0</v>
      </c>
      <c r="AI53">
        <v>0</v>
      </c>
      <c r="AJ53">
        <v>0</v>
      </c>
      <c r="AK53">
        <v>0</v>
      </c>
      <c r="AL53" t="s">
        <v>149</v>
      </c>
      <c r="AM53" t="s">
        <v>150</v>
      </c>
      <c r="AN53" t="s">
        <v>151</v>
      </c>
      <c r="AO53" t="s">
        <v>91</v>
      </c>
      <c r="AP53" t="s">
        <v>74</v>
      </c>
      <c r="AQ53" t="s">
        <v>74</v>
      </c>
      <c r="AR53" t="s">
        <v>93</v>
      </c>
      <c r="AS53" t="s">
        <v>94</v>
      </c>
      <c r="AT53" t="s">
        <v>95</v>
      </c>
      <c r="AU53">
        <v>2008</v>
      </c>
      <c r="AV53">
        <v>43</v>
      </c>
      <c r="AW53">
        <v>7</v>
      </c>
      <c r="AX53" t="s">
        <v>74</v>
      </c>
      <c r="AY53" t="s">
        <v>96</v>
      </c>
      <c r="AZ53" t="s">
        <v>74</v>
      </c>
      <c r="BA53" t="s">
        <v>74</v>
      </c>
      <c r="BB53" t="s">
        <v>532</v>
      </c>
      <c r="BC53" t="s">
        <v>532</v>
      </c>
      <c r="BD53" t="s">
        <v>74</v>
      </c>
      <c r="BE53" t="s">
        <v>74</v>
      </c>
      <c r="BF53" t="s">
        <v>74</v>
      </c>
      <c r="BG53" t="s">
        <v>74</v>
      </c>
      <c r="BH53" t="s">
        <v>74</v>
      </c>
      <c r="BI53">
        <v>1</v>
      </c>
      <c r="BJ53" t="s">
        <v>98</v>
      </c>
      <c r="BK53" t="s">
        <v>99</v>
      </c>
      <c r="BL53" t="s">
        <v>98</v>
      </c>
      <c r="BM53" t="s">
        <v>100</v>
      </c>
      <c r="BN53" t="s">
        <v>74</v>
      </c>
      <c r="BO53" t="s">
        <v>74</v>
      </c>
      <c r="BP53" t="s">
        <v>74</v>
      </c>
      <c r="BQ53" t="s">
        <v>74</v>
      </c>
      <c r="BR53" t="s">
        <v>101</v>
      </c>
      <c r="BS53" t="s">
        <v>533</v>
      </c>
      <c r="BT53" t="str">
        <f>HYPERLINK("https%3A%2F%2Fwww.webofscience.com%2Fwos%2Fwoscc%2Ffull-record%2FWOS:000257683100077","View Full Record in Web of Science")</f>
        <v>View Full Record in Web of Science</v>
      </c>
    </row>
    <row r="54" spans="1:72" x14ac:dyDescent="0.15">
      <c r="A54" t="s">
        <v>72</v>
      </c>
      <c r="B54" t="s">
        <v>534</v>
      </c>
      <c r="C54" t="s">
        <v>74</v>
      </c>
      <c r="D54" t="s">
        <v>74</v>
      </c>
      <c r="E54" t="s">
        <v>74</v>
      </c>
      <c r="F54" t="s">
        <v>535</v>
      </c>
      <c r="G54" t="s">
        <v>74</v>
      </c>
      <c r="H54" t="s">
        <v>74</v>
      </c>
      <c r="I54" t="s">
        <v>536</v>
      </c>
      <c r="J54" t="s">
        <v>77</v>
      </c>
      <c r="K54" t="s">
        <v>74</v>
      </c>
      <c r="L54" t="s">
        <v>74</v>
      </c>
      <c r="M54" t="s">
        <v>78</v>
      </c>
      <c r="N54" t="s">
        <v>52</v>
      </c>
      <c r="O54" t="s">
        <v>79</v>
      </c>
      <c r="P54" t="s">
        <v>80</v>
      </c>
      <c r="Q54" t="s">
        <v>81</v>
      </c>
      <c r="R54" t="s">
        <v>74</v>
      </c>
      <c r="S54" t="s">
        <v>82</v>
      </c>
      <c r="T54" t="s">
        <v>74</v>
      </c>
      <c r="U54" t="s">
        <v>537</v>
      </c>
      <c r="V54" t="s">
        <v>74</v>
      </c>
      <c r="W54" t="s">
        <v>538</v>
      </c>
      <c r="X54" t="s">
        <v>539</v>
      </c>
      <c r="Y54" t="s">
        <v>74</v>
      </c>
      <c r="Z54" t="s">
        <v>540</v>
      </c>
      <c r="AA54" t="s">
        <v>541</v>
      </c>
      <c r="AB54" t="s">
        <v>74</v>
      </c>
      <c r="AC54" t="s">
        <v>74</v>
      </c>
      <c r="AD54" t="s">
        <v>74</v>
      </c>
      <c r="AE54" t="s">
        <v>74</v>
      </c>
      <c r="AF54" t="s">
        <v>74</v>
      </c>
      <c r="AG54">
        <v>4</v>
      </c>
      <c r="AH54">
        <v>3</v>
      </c>
      <c r="AI54">
        <v>3</v>
      </c>
      <c r="AJ54">
        <v>0</v>
      </c>
      <c r="AK54">
        <v>0</v>
      </c>
      <c r="AL54" t="s">
        <v>88</v>
      </c>
      <c r="AM54" t="s">
        <v>89</v>
      </c>
      <c r="AN54" t="s">
        <v>90</v>
      </c>
      <c r="AO54" t="s">
        <v>91</v>
      </c>
      <c r="AP54" t="s">
        <v>92</v>
      </c>
      <c r="AQ54" t="s">
        <v>74</v>
      </c>
      <c r="AR54" t="s">
        <v>93</v>
      </c>
      <c r="AS54" t="s">
        <v>94</v>
      </c>
      <c r="AT54" t="s">
        <v>95</v>
      </c>
      <c r="AU54">
        <v>2008</v>
      </c>
      <c r="AV54">
        <v>43</v>
      </c>
      <c r="AW54">
        <v>7</v>
      </c>
      <c r="AX54" t="s">
        <v>74</v>
      </c>
      <c r="AY54" t="s">
        <v>96</v>
      </c>
      <c r="AZ54" t="s">
        <v>74</v>
      </c>
      <c r="BA54" t="s">
        <v>74</v>
      </c>
      <c r="BB54" t="s">
        <v>532</v>
      </c>
      <c r="BC54" t="s">
        <v>532</v>
      </c>
      <c r="BD54" t="s">
        <v>74</v>
      </c>
      <c r="BE54" t="s">
        <v>74</v>
      </c>
      <c r="BF54" t="s">
        <v>74</v>
      </c>
      <c r="BG54" t="s">
        <v>74</v>
      </c>
      <c r="BH54" t="s">
        <v>74</v>
      </c>
      <c r="BI54">
        <v>1</v>
      </c>
      <c r="BJ54" t="s">
        <v>98</v>
      </c>
      <c r="BK54" t="s">
        <v>99</v>
      </c>
      <c r="BL54" t="s">
        <v>98</v>
      </c>
      <c r="BM54" t="s">
        <v>100</v>
      </c>
      <c r="BN54" t="s">
        <v>74</v>
      </c>
      <c r="BO54" t="s">
        <v>74</v>
      </c>
      <c r="BP54" t="s">
        <v>74</v>
      </c>
      <c r="BQ54" t="s">
        <v>74</v>
      </c>
      <c r="BR54" t="s">
        <v>101</v>
      </c>
      <c r="BS54" t="s">
        <v>542</v>
      </c>
      <c r="BT54" t="str">
        <f>HYPERLINK("https%3A%2F%2Fwww.webofscience.com%2Fwos%2Fwoscc%2Ffull-record%2FWOS:000257683100078","View Full Record in Web of Science")</f>
        <v>View Full Record in Web of Science</v>
      </c>
    </row>
    <row r="55" spans="1:72" x14ac:dyDescent="0.15">
      <c r="A55" t="s">
        <v>72</v>
      </c>
      <c r="B55" t="s">
        <v>543</v>
      </c>
      <c r="C55" t="s">
        <v>74</v>
      </c>
      <c r="D55" t="s">
        <v>74</v>
      </c>
      <c r="E55" t="s">
        <v>74</v>
      </c>
      <c r="F55" t="s">
        <v>544</v>
      </c>
      <c r="G55" t="s">
        <v>74</v>
      </c>
      <c r="H55" t="s">
        <v>74</v>
      </c>
      <c r="I55" t="s">
        <v>545</v>
      </c>
      <c r="J55" t="s">
        <v>77</v>
      </c>
      <c r="K55" t="s">
        <v>74</v>
      </c>
      <c r="L55" t="s">
        <v>74</v>
      </c>
      <c r="M55" t="s">
        <v>78</v>
      </c>
      <c r="N55" t="s">
        <v>52</v>
      </c>
      <c r="O55" t="s">
        <v>79</v>
      </c>
      <c r="P55" t="s">
        <v>80</v>
      </c>
      <c r="Q55" t="s">
        <v>81</v>
      </c>
      <c r="R55" t="s">
        <v>74</v>
      </c>
      <c r="S55" t="s">
        <v>82</v>
      </c>
      <c r="T55" t="s">
        <v>74</v>
      </c>
      <c r="U55" t="s">
        <v>74</v>
      </c>
      <c r="V55" t="s">
        <v>74</v>
      </c>
      <c r="W55" t="s">
        <v>546</v>
      </c>
      <c r="X55" t="s">
        <v>547</v>
      </c>
      <c r="Y55" t="s">
        <v>74</v>
      </c>
      <c r="Z55" t="s">
        <v>548</v>
      </c>
      <c r="AA55" t="s">
        <v>74</v>
      </c>
      <c r="AB55" t="s">
        <v>74</v>
      </c>
      <c r="AC55" t="s">
        <v>74</v>
      </c>
      <c r="AD55" t="s">
        <v>74</v>
      </c>
      <c r="AE55" t="s">
        <v>74</v>
      </c>
      <c r="AF55" t="s">
        <v>74</v>
      </c>
      <c r="AG55">
        <v>3</v>
      </c>
      <c r="AH55">
        <v>0</v>
      </c>
      <c r="AI55">
        <v>0</v>
      </c>
      <c r="AJ55">
        <v>0</v>
      </c>
      <c r="AK55">
        <v>1</v>
      </c>
      <c r="AL55" t="s">
        <v>109</v>
      </c>
      <c r="AM55" t="s">
        <v>110</v>
      </c>
      <c r="AN55" t="s">
        <v>111</v>
      </c>
      <c r="AO55" t="s">
        <v>91</v>
      </c>
      <c r="AP55" t="s">
        <v>74</v>
      </c>
      <c r="AQ55" t="s">
        <v>74</v>
      </c>
      <c r="AR55" t="s">
        <v>93</v>
      </c>
      <c r="AS55" t="s">
        <v>94</v>
      </c>
      <c r="AT55" t="s">
        <v>95</v>
      </c>
      <c r="AU55">
        <v>2008</v>
      </c>
      <c r="AV55">
        <v>43</v>
      </c>
      <c r="AW55">
        <v>7</v>
      </c>
      <c r="AX55" t="s">
        <v>74</v>
      </c>
      <c r="AY55" t="s">
        <v>96</v>
      </c>
      <c r="AZ55" t="s">
        <v>74</v>
      </c>
      <c r="BA55" t="s">
        <v>74</v>
      </c>
      <c r="BB55" t="s">
        <v>513</v>
      </c>
      <c r="BC55" t="s">
        <v>513</v>
      </c>
      <c r="BD55" t="s">
        <v>74</v>
      </c>
      <c r="BE55" t="s">
        <v>74</v>
      </c>
      <c r="BF55" t="s">
        <v>74</v>
      </c>
      <c r="BG55" t="s">
        <v>74</v>
      </c>
      <c r="BH55" t="s">
        <v>74</v>
      </c>
      <c r="BI55">
        <v>1</v>
      </c>
      <c r="BJ55" t="s">
        <v>98</v>
      </c>
      <c r="BK55" t="s">
        <v>113</v>
      </c>
      <c r="BL55" t="s">
        <v>98</v>
      </c>
      <c r="BM55" t="s">
        <v>100</v>
      </c>
      <c r="BN55" t="s">
        <v>74</v>
      </c>
      <c r="BO55" t="s">
        <v>74</v>
      </c>
      <c r="BP55" t="s">
        <v>74</v>
      </c>
      <c r="BQ55" t="s">
        <v>74</v>
      </c>
      <c r="BR55" t="s">
        <v>101</v>
      </c>
      <c r="BS55" t="s">
        <v>549</v>
      </c>
      <c r="BT55" t="str">
        <f>HYPERLINK("https%3A%2F%2Fwww.webofscience.com%2Fwos%2Fwoscc%2Ffull-record%2FWOS:000257683100341","View Full Record in Web of Science")</f>
        <v>View Full Record in Web of Science</v>
      </c>
    </row>
    <row r="56" spans="1:72" x14ac:dyDescent="0.15">
      <c r="A56" t="s">
        <v>72</v>
      </c>
      <c r="B56" t="s">
        <v>550</v>
      </c>
      <c r="C56" t="s">
        <v>74</v>
      </c>
      <c r="D56" t="s">
        <v>74</v>
      </c>
      <c r="E56" t="s">
        <v>74</v>
      </c>
      <c r="F56" t="s">
        <v>551</v>
      </c>
      <c r="G56" t="s">
        <v>74</v>
      </c>
      <c r="H56" t="s">
        <v>74</v>
      </c>
      <c r="I56" t="s">
        <v>552</v>
      </c>
      <c r="J56" t="s">
        <v>77</v>
      </c>
      <c r="K56" t="s">
        <v>74</v>
      </c>
      <c r="L56" t="s">
        <v>74</v>
      </c>
      <c r="M56" t="s">
        <v>78</v>
      </c>
      <c r="N56" t="s">
        <v>52</v>
      </c>
      <c r="O56" t="s">
        <v>79</v>
      </c>
      <c r="P56" t="s">
        <v>80</v>
      </c>
      <c r="Q56" t="s">
        <v>81</v>
      </c>
      <c r="R56" t="s">
        <v>74</v>
      </c>
      <c r="S56" t="s">
        <v>82</v>
      </c>
      <c r="T56" t="s">
        <v>74</v>
      </c>
      <c r="U56" t="s">
        <v>74</v>
      </c>
      <c r="V56" t="s">
        <v>74</v>
      </c>
      <c r="W56" t="s">
        <v>553</v>
      </c>
      <c r="X56" t="s">
        <v>554</v>
      </c>
      <c r="Y56" t="s">
        <v>74</v>
      </c>
      <c r="Z56" t="s">
        <v>548</v>
      </c>
      <c r="AA56" t="s">
        <v>74</v>
      </c>
      <c r="AB56" t="s">
        <v>74</v>
      </c>
      <c r="AC56" t="s">
        <v>74</v>
      </c>
      <c r="AD56" t="s">
        <v>74</v>
      </c>
      <c r="AE56" t="s">
        <v>74</v>
      </c>
      <c r="AF56" t="s">
        <v>74</v>
      </c>
      <c r="AG56">
        <v>3</v>
      </c>
      <c r="AH56">
        <v>0</v>
      </c>
      <c r="AI56">
        <v>0</v>
      </c>
      <c r="AJ56">
        <v>0</v>
      </c>
      <c r="AK56">
        <v>2</v>
      </c>
      <c r="AL56" t="s">
        <v>109</v>
      </c>
      <c r="AM56" t="s">
        <v>110</v>
      </c>
      <c r="AN56" t="s">
        <v>111</v>
      </c>
      <c r="AO56" t="s">
        <v>91</v>
      </c>
      <c r="AP56" t="s">
        <v>74</v>
      </c>
      <c r="AQ56" t="s">
        <v>74</v>
      </c>
      <c r="AR56" t="s">
        <v>93</v>
      </c>
      <c r="AS56" t="s">
        <v>94</v>
      </c>
      <c r="AT56" t="s">
        <v>95</v>
      </c>
      <c r="AU56">
        <v>2008</v>
      </c>
      <c r="AV56">
        <v>43</v>
      </c>
      <c r="AW56">
        <v>7</v>
      </c>
      <c r="AX56" t="s">
        <v>74</v>
      </c>
      <c r="AY56" t="s">
        <v>96</v>
      </c>
      <c r="AZ56" t="s">
        <v>74</v>
      </c>
      <c r="BA56" t="s">
        <v>74</v>
      </c>
      <c r="BB56" t="s">
        <v>555</v>
      </c>
      <c r="BC56" t="s">
        <v>555</v>
      </c>
      <c r="BD56" t="s">
        <v>74</v>
      </c>
      <c r="BE56" t="s">
        <v>74</v>
      </c>
      <c r="BF56" t="s">
        <v>74</v>
      </c>
      <c r="BG56" t="s">
        <v>74</v>
      </c>
      <c r="BH56" t="s">
        <v>74</v>
      </c>
      <c r="BI56">
        <v>1</v>
      </c>
      <c r="BJ56" t="s">
        <v>98</v>
      </c>
      <c r="BK56" t="s">
        <v>113</v>
      </c>
      <c r="BL56" t="s">
        <v>98</v>
      </c>
      <c r="BM56" t="s">
        <v>100</v>
      </c>
      <c r="BN56" t="s">
        <v>74</v>
      </c>
      <c r="BO56" t="s">
        <v>74</v>
      </c>
      <c r="BP56" t="s">
        <v>74</v>
      </c>
      <c r="BQ56" t="s">
        <v>74</v>
      </c>
      <c r="BR56" t="s">
        <v>101</v>
      </c>
      <c r="BS56" t="s">
        <v>556</v>
      </c>
      <c r="BT56" t="str">
        <f>HYPERLINK("https%3A%2F%2Fwww.webofscience.com%2Fwos%2Fwoscc%2Ffull-record%2FWOS:000257683100079","View Full Record in Web of Science")</f>
        <v>View Full Record in Web of Science</v>
      </c>
    </row>
    <row r="57" spans="1:72" x14ac:dyDescent="0.15">
      <c r="A57" t="s">
        <v>72</v>
      </c>
      <c r="B57" t="s">
        <v>557</v>
      </c>
      <c r="C57" t="s">
        <v>74</v>
      </c>
      <c r="D57" t="s">
        <v>74</v>
      </c>
      <c r="E57" t="s">
        <v>74</v>
      </c>
      <c r="F57" t="s">
        <v>558</v>
      </c>
      <c r="G57" t="s">
        <v>74</v>
      </c>
      <c r="H57" t="s">
        <v>74</v>
      </c>
      <c r="I57" t="s">
        <v>559</v>
      </c>
      <c r="J57" t="s">
        <v>77</v>
      </c>
      <c r="K57" t="s">
        <v>74</v>
      </c>
      <c r="L57" t="s">
        <v>74</v>
      </c>
      <c r="M57" t="s">
        <v>78</v>
      </c>
      <c r="N57" t="s">
        <v>52</v>
      </c>
      <c r="O57" t="s">
        <v>79</v>
      </c>
      <c r="P57" t="s">
        <v>80</v>
      </c>
      <c r="Q57" t="s">
        <v>81</v>
      </c>
      <c r="R57" t="s">
        <v>74</v>
      </c>
      <c r="S57" t="s">
        <v>82</v>
      </c>
      <c r="T57" t="s">
        <v>74</v>
      </c>
      <c r="U57" t="s">
        <v>74</v>
      </c>
      <c r="V57" t="s">
        <v>74</v>
      </c>
      <c r="W57" t="s">
        <v>560</v>
      </c>
      <c r="X57" t="s">
        <v>561</v>
      </c>
      <c r="Y57" t="s">
        <v>74</v>
      </c>
      <c r="Z57" t="s">
        <v>562</v>
      </c>
      <c r="AA57" t="s">
        <v>74</v>
      </c>
      <c r="AB57" t="s">
        <v>74</v>
      </c>
      <c r="AC57" t="s">
        <v>74</v>
      </c>
      <c r="AD57" t="s">
        <v>74</v>
      </c>
      <c r="AE57" t="s">
        <v>74</v>
      </c>
      <c r="AF57" t="s">
        <v>74</v>
      </c>
      <c r="AG57">
        <v>2</v>
      </c>
      <c r="AH57">
        <v>1</v>
      </c>
      <c r="AI57">
        <v>1</v>
      </c>
      <c r="AJ57">
        <v>0</v>
      </c>
      <c r="AK57">
        <v>0</v>
      </c>
      <c r="AL57" t="s">
        <v>88</v>
      </c>
      <c r="AM57" t="s">
        <v>89</v>
      </c>
      <c r="AN57" t="s">
        <v>90</v>
      </c>
      <c r="AO57" t="s">
        <v>91</v>
      </c>
      <c r="AP57" t="s">
        <v>92</v>
      </c>
      <c r="AQ57" t="s">
        <v>74</v>
      </c>
      <c r="AR57" t="s">
        <v>93</v>
      </c>
      <c r="AS57" t="s">
        <v>94</v>
      </c>
      <c r="AT57" t="s">
        <v>95</v>
      </c>
      <c r="AU57">
        <v>2008</v>
      </c>
      <c r="AV57">
        <v>43</v>
      </c>
      <c r="AW57">
        <v>7</v>
      </c>
      <c r="AX57" t="s">
        <v>74</v>
      </c>
      <c r="AY57" t="s">
        <v>96</v>
      </c>
      <c r="AZ57" t="s">
        <v>74</v>
      </c>
      <c r="BA57" t="s">
        <v>74</v>
      </c>
      <c r="BB57" t="s">
        <v>555</v>
      </c>
      <c r="BC57" t="s">
        <v>555</v>
      </c>
      <c r="BD57" t="s">
        <v>74</v>
      </c>
      <c r="BE57" t="s">
        <v>74</v>
      </c>
      <c r="BF57" t="s">
        <v>74</v>
      </c>
      <c r="BG57" t="s">
        <v>74</v>
      </c>
      <c r="BH57" t="s">
        <v>74</v>
      </c>
      <c r="BI57">
        <v>1</v>
      </c>
      <c r="BJ57" t="s">
        <v>98</v>
      </c>
      <c r="BK57" t="s">
        <v>99</v>
      </c>
      <c r="BL57" t="s">
        <v>98</v>
      </c>
      <c r="BM57" t="s">
        <v>100</v>
      </c>
      <c r="BN57" t="s">
        <v>74</v>
      </c>
      <c r="BO57" t="s">
        <v>74</v>
      </c>
      <c r="BP57" t="s">
        <v>74</v>
      </c>
      <c r="BQ57" t="s">
        <v>74</v>
      </c>
      <c r="BR57" t="s">
        <v>101</v>
      </c>
      <c r="BS57" t="s">
        <v>563</v>
      </c>
      <c r="BT57" t="str">
        <f>HYPERLINK("https%3A%2F%2Fwww.webofscience.com%2Fwos%2Fwoscc%2Ffull-record%2FWOS:000257683100080","View Full Record in Web of Science")</f>
        <v>View Full Record in Web of Science</v>
      </c>
    </row>
    <row r="58" spans="1:72" x14ac:dyDescent="0.15">
      <c r="A58" t="s">
        <v>72</v>
      </c>
      <c r="B58" t="s">
        <v>564</v>
      </c>
      <c r="C58" t="s">
        <v>74</v>
      </c>
      <c r="D58" t="s">
        <v>74</v>
      </c>
      <c r="E58" t="s">
        <v>74</v>
      </c>
      <c r="F58" t="s">
        <v>565</v>
      </c>
      <c r="G58" t="s">
        <v>74</v>
      </c>
      <c r="H58" t="s">
        <v>74</v>
      </c>
      <c r="I58" t="s">
        <v>566</v>
      </c>
      <c r="J58" t="s">
        <v>77</v>
      </c>
      <c r="K58" t="s">
        <v>74</v>
      </c>
      <c r="L58" t="s">
        <v>74</v>
      </c>
      <c r="M58" t="s">
        <v>78</v>
      </c>
      <c r="N58" t="s">
        <v>52</v>
      </c>
      <c r="O58" t="s">
        <v>79</v>
      </c>
      <c r="P58" t="s">
        <v>80</v>
      </c>
      <c r="Q58" t="s">
        <v>81</v>
      </c>
      <c r="R58" t="s">
        <v>74</v>
      </c>
      <c r="S58" t="s">
        <v>82</v>
      </c>
      <c r="T58" t="s">
        <v>74</v>
      </c>
      <c r="U58" t="s">
        <v>567</v>
      </c>
      <c r="V58" t="s">
        <v>74</v>
      </c>
      <c r="W58" t="s">
        <v>568</v>
      </c>
      <c r="X58" t="s">
        <v>569</v>
      </c>
      <c r="Y58" t="s">
        <v>74</v>
      </c>
      <c r="Z58" t="s">
        <v>570</v>
      </c>
      <c r="AA58" t="s">
        <v>571</v>
      </c>
      <c r="AB58" t="s">
        <v>74</v>
      </c>
      <c r="AC58" t="s">
        <v>74</v>
      </c>
      <c r="AD58" t="s">
        <v>74</v>
      </c>
      <c r="AE58" t="s">
        <v>74</v>
      </c>
      <c r="AF58" t="s">
        <v>74</v>
      </c>
      <c r="AG58">
        <v>3</v>
      </c>
      <c r="AH58">
        <v>0</v>
      </c>
      <c r="AI58">
        <v>0</v>
      </c>
      <c r="AJ58">
        <v>0</v>
      </c>
      <c r="AK58">
        <v>0</v>
      </c>
      <c r="AL58" t="s">
        <v>109</v>
      </c>
      <c r="AM58" t="s">
        <v>110</v>
      </c>
      <c r="AN58" t="s">
        <v>111</v>
      </c>
      <c r="AO58" t="s">
        <v>91</v>
      </c>
      <c r="AP58" t="s">
        <v>74</v>
      </c>
      <c r="AQ58" t="s">
        <v>74</v>
      </c>
      <c r="AR58" t="s">
        <v>93</v>
      </c>
      <c r="AS58" t="s">
        <v>94</v>
      </c>
      <c r="AT58" t="s">
        <v>95</v>
      </c>
      <c r="AU58">
        <v>2008</v>
      </c>
      <c r="AV58">
        <v>43</v>
      </c>
      <c r="AW58">
        <v>7</v>
      </c>
      <c r="AX58" t="s">
        <v>74</v>
      </c>
      <c r="AY58" t="s">
        <v>96</v>
      </c>
      <c r="AZ58" t="s">
        <v>74</v>
      </c>
      <c r="BA58" t="s">
        <v>74</v>
      </c>
      <c r="BB58" t="s">
        <v>572</v>
      </c>
      <c r="BC58" t="s">
        <v>572</v>
      </c>
      <c r="BD58" t="s">
        <v>74</v>
      </c>
      <c r="BE58" t="s">
        <v>74</v>
      </c>
      <c r="BF58" t="s">
        <v>74</v>
      </c>
      <c r="BG58" t="s">
        <v>74</v>
      </c>
      <c r="BH58" t="s">
        <v>74</v>
      </c>
      <c r="BI58">
        <v>1</v>
      </c>
      <c r="BJ58" t="s">
        <v>98</v>
      </c>
      <c r="BK58" t="s">
        <v>113</v>
      </c>
      <c r="BL58" t="s">
        <v>98</v>
      </c>
      <c r="BM58" t="s">
        <v>100</v>
      </c>
      <c r="BN58" t="s">
        <v>74</v>
      </c>
      <c r="BO58" t="s">
        <v>74</v>
      </c>
      <c r="BP58" t="s">
        <v>74</v>
      </c>
      <c r="BQ58" t="s">
        <v>74</v>
      </c>
      <c r="BR58" t="s">
        <v>101</v>
      </c>
      <c r="BS58" t="s">
        <v>573</v>
      </c>
      <c r="BT58" t="str">
        <f>HYPERLINK("https%3A%2F%2Fwww.webofscience.com%2Fwos%2Fwoscc%2Ffull-record%2FWOS:000257683100081","View Full Record in Web of Science")</f>
        <v>View Full Record in Web of Science</v>
      </c>
    </row>
    <row r="59" spans="1:72" x14ac:dyDescent="0.15">
      <c r="A59" t="s">
        <v>72</v>
      </c>
      <c r="B59" t="s">
        <v>574</v>
      </c>
      <c r="C59" t="s">
        <v>74</v>
      </c>
      <c r="D59" t="s">
        <v>74</v>
      </c>
      <c r="E59" t="s">
        <v>74</v>
      </c>
      <c r="F59" t="s">
        <v>575</v>
      </c>
      <c r="G59" t="s">
        <v>74</v>
      </c>
      <c r="H59" t="s">
        <v>74</v>
      </c>
      <c r="I59" t="s">
        <v>576</v>
      </c>
      <c r="J59" t="s">
        <v>77</v>
      </c>
      <c r="K59" t="s">
        <v>74</v>
      </c>
      <c r="L59" t="s">
        <v>74</v>
      </c>
      <c r="M59" t="s">
        <v>78</v>
      </c>
      <c r="N59" t="s">
        <v>52</v>
      </c>
      <c r="O59" t="s">
        <v>79</v>
      </c>
      <c r="P59" t="s">
        <v>80</v>
      </c>
      <c r="Q59" t="s">
        <v>81</v>
      </c>
      <c r="R59" t="s">
        <v>74</v>
      </c>
      <c r="S59" t="s">
        <v>82</v>
      </c>
      <c r="T59" t="s">
        <v>74</v>
      </c>
      <c r="U59" t="s">
        <v>74</v>
      </c>
      <c r="V59" t="s">
        <v>74</v>
      </c>
      <c r="W59" t="s">
        <v>577</v>
      </c>
      <c r="X59" t="s">
        <v>578</v>
      </c>
      <c r="Y59" t="s">
        <v>74</v>
      </c>
      <c r="Z59" t="s">
        <v>579</v>
      </c>
      <c r="AA59" t="s">
        <v>74</v>
      </c>
      <c r="AB59" t="s">
        <v>74</v>
      </c>
      <c r="AC59" t="s">
        <v>74</v>
      </c>
      <c r="AD59" t="s">
        <v>74</v>
      </c>
      <c r="AE59" t="s">
        <v>74</v>
      </c>
      <c r="AF59" t="s">
        <v>74</v>
      </c>
      <c r="AG59">
        <v>6</v>
      </c>
      <c r="AH59">
        <v>0</v>
      </c>
      <c r="AI59">
        <v>0</v>
      </c>
      <c r="AJ59">
        <v>0</v>
      </c>
      <c r="AK59">
        <v>0</v>
      </c>
      <c r="AL59" t="s">
        <v>88</v>
      </c>
      <c r="AM59" t="s">
        <v>89</v>
      </c>
      <c r="AN59" t="s">
        <v>90</v>
      </c>
      <c r="AO59" t="s">
        <v>91</v>
      </c>
      <c r="AP59" t="s">
        <v>92</v>
      </c>
      <c r="AQ59" t="s">
        <v>74</v>
      </c>
      <c r="AR59" t="s">
        <v>93</v>
      </c>
      <c r="AS59" t="s">
        <v>94</v>
      </c>
      <c r="AT59" t="s">
        <v>95</v>
      </c>
      <c r="AU59">
        <v>2008</v>
      </c>
      <c r="AV59">
        <v>43</v>
      </c>
      <c r="AW59">
        <v>7</v>
      </c>
      <c r="AX59" t="s">
        <v>74</v>
      </c>
      <c r="AY59" t="s">
        <v>96</v>
      </c>
      <c r="AZ59" t="s">
        <v>74</v>
      </c>
      <c r="BA59" t="s">
        <v>74</v>
      </c>
      <c r="BB59" t="s">
        <v>580</v>
      </c>
      <c r="BC59" t="s">
        <v>580</v>
      </c>
      <c r="BD59" t="s">
        <v>74</v>
      </c>
      <c r="BE59" t="s">
        <v>74</v>
      </c>
      <c r="BF59" t="s">
        <v>74</v>
      </c>
      <c r="BG59" t="s">
        <v>74</v>
      </c>
      <c r="BH59" t="s">
        <v>74</v>
      </c>
      <c r="BI59">
        <v>1</v>
      </c>
      <c r="BJ59" t="s">
        <v>98</v>
      </c>
      <c r="BK59" t="s">
        <v>99</v>
      </c>
      <c r="BL59" t="s">
        <v>98</v>
      </c>
      <c r="BM59" t="s">
        <v>100</v>
      </c>
      <c r="BN59" t="s">
        <v>74</v>
      </c>
      <c r="BO59" t="s">
        <v>74</v>
      </c>
      <c r="BP59" t="s">
        <v>74</v>
      </c>
      <c r="BQ59" t="s">
        <v>74</v>
      </c>
      <c r="BR59" t="s">
        <v>101</v>
      </c>
      <c r="BS59" t="s">
        <v>581</v>
      </c>
      <c r="BT59" t="str">
        <f>HYPERLINK("https%3A%2F%2Fwww.webofscience.com%2Fwos%2Fwoscc%2Ffull-record%2FWOS:000257683100342","View Full Record in Web of Science")</f>
        <v>View Full Record in Web of Science</v>
      </c>
    </row>
    <row r="60" spans="1:72" x14ac:dyDescent="0.15">
      <c r="A60" t="s">
        <v>72</v>
      </c>
      <c r="B60" t="s">
        <v>582</v>
      </c>
      <c r="C60" t="s">
        <v>74</v>
      </c>
      <c r="D60" t="s">
        <v>74</v>
      </c>
      <c r="E60" t="s">
        <v>74</v>
      </c>
      <c r="F60" t="s">
        <v>583</v>
      </c>
      <c r="G60" t="s">
        <v>74</v>
      </c>
      <c r="H60" t="s">
        <v>74</v>
      </c>
      <c r="I60" t="s">
        <v>584</v>
      </c>
      <c r="J60" t="s">
        <v>77</v>
      </c>
      <c r="K60" t="s">
        <v>74</v>
      </c>
      <c r="L60" t="s">
        <v>74</v>
      </c>
      <c r="M60" t="s">
        <v>78</v>
      </c>
      <c r="N60" t="s">
        <v>52</v>
      </c>
      <c r="O60" t="s">
        <v>79</v>
      </c>
      <c r="P60" t="s">
        <v>80</v>
      </c>
      <c r="Q60" t="s">
        <v>81</v>
      </c>
      <c r="R60" t="s">
        <v>74</v>
      </c>
      <c r="S60" t="s">
        <v>82</v>
      </c>
      <c r="T60" t="s">
        <v>74</v>
      </c>
      <c r="U60" t="s">
        <v>74</v>
      </c>
      <c r="V60" t="s">
        <v>74</v>
      </c>
      <c r="W60" t="s">
        <v>585</v>
      </c>
      <c r="X60" t="s">
        <v>586</v>
      </c>
      <c r="Y60" t="s">
        <v>74</v>
      </c>
      <c r="Z60" t="s">
        <v>587</v>
      </c>
      <c r="AA60" t="s">
        <v>588</v>
      </c>
      <c r="AB60" t="s">
        <v>74</v>
      </c>
      <c r="AC60" t="s">
        <v>74</v>
      </c>
      <c r="AD60" t="s">
        <v>74</v>
      </c>
      <c r="AE60" t="s">
        <v>74</v>
      </c>
      <c r="AF60" t="s">
        <v>74</v>
      </c>
      <c r="AG60">
        <v>3</v>
      </c>
      <c r="AH60">
        <v>0</v>
      </c>
      <c r="AI60">
        <v>0</v>
      </c>
      <c r="AJ60">
        <v>0</v>
      </c>
      <c r="AK60">
        <v>2</v>
      </c>
      <c r="AL60" t="s">
        <v>88</v>
      </c>
      <c r="AM60" t="s">
        <v>89</v>
      </c>
      <c r="AN60" t="s">
        <v>90</v>
      </c>
      <c r="AO60" t="s">
        <v>91</v>
      </c>
      <c r="AP60" t="s">
        <v>92</v>
      </c>
      <c r="AQ60" t="s">
        <v>74</v>
      </c>
      <c r="AR60" t="s">
        <v>93</v>
      </c>
      <c r="AS60" t="s">
        <v>94</v>
      </c>
      <c r="AT60" t="s">
        <v>95</v>
      </c>
      <c r="AU60">
        <v>2008</v>
      </c>
      <c r="AV60">
        <v>43</v>
      </c>
      <c r="AW60">
        <v>7</v>
      </c>
      <c r="AX60" t="s">
        <v>74</v>
      </c>
      <c r="AY60" t="s">
        <v>96</v>
      </c>
      <c r="AZ60" t="s">
        <v>74</v>
      </c>
      <c r="BA60" t="s">
        <v>74</v>
      </c>
      <c r="BB60" t="s">
        <v>572</v>
      </c>
      <c r="BC60" t="s">
        <v>572</v>
      </c>
      <c r="BD60" t="s">
        <v>74</v>
      </c>
      <c r="BE60" t="s">
        <v>74</v>
      </c>
      <c r="BF60" t="s">
        <v>74</v>
      </c>
      <c r="BG60" t="s">
        <v>74</v>
      </c>
      <c r="BH60" t="s">
        <v>74</v>
      </c>
      <c r="BI60">
        <v>1</v>
      </c>
      <c r="BJ60" t="s">
        <v>98</v>
      </c>
      <c r="BK60" t="s">
        <v>99</v>
      </c>
      <c r="BL60" t="s">
        <v>98</v>
      </c>
      <c r="BM60" t="s">
        <v>100</v>
      </c>
      <c r="BN60" t="s">
        <v>74</v>
      </c>
      <c r="BO60" t="s">
        <v>74</v>
      </c>
      <c r="BP60" t="s">
        <v>74</v>
      </c>
      <c r="BQ60" t="s">
        <v>74</v>
      </c>
      <c r="BR60" t="s">
        <v>101</v>
      </c>
      <c r="BS60" t="s">
        <v>589</v>
      </c>
      <c r="BT60" t="str">
        <f>HYPERLINK("https%3A%2F%2Fwww.webofscience.com%2Fwos%2Fwoscc%2Ffull-record%2FWOS:000257683100082","View Full Record in Web of Science")</f>
        <v>View Full Record in Web of Science</v>
      </c>
    </row>
    <row r="61" spans="1:72" x14ac:dyDescent="0.15">
      <c r="A61" t="s">
        <v>72</v>
      </c>
      <c r="B61" t="s">
        <v>590</v>
      </c>
      <c r="C61" t="s">
        <v>74</v>
      </c>
      <c r="D61" t="s">
        <v>74</v>
      </c>
      <c r="E61" t="s">
        <v>74</v>
      </c>
      <c r="F61" t="s">
        <v>591</v>
      </c>
      <c r="G61" t="s">
        <v>74</v>
      </c>
      <c r="H61" t="s">
        <v>74</v>
      </c>
      <c r="I61" t="s">
        <v>592</v>
      </c>
      <c r="J61" t="s">
        <v>77</v>
      </c>
      <c r="K61" t="s">
        <v>74</v>
      </c>
      <c r="L61" t="s">
        <v>74</v>
      </c>
      <c r="M61" t="s">
        <v>78</v>
      </c>
      <c r="N61" t="s">
        <v>52</v>
      </c>
      <c r="O61" t="s">
        <v>79</v>
      </c>
      <c r="P61" t="s">
        <v>80</v>
      </c>
      <c r="Q61" t="s">
        <v>81</v>
      </c>
      <c r="R61" t="s">
        <v>74</v>
      </c>
      <c r="S61" t="s">
        <v>82</v>
      </c>
      <c r="T61" t="s">
        <v>74</v>
      </c>
      <c r="U61" t="s">
        <v>593</v>
      </c>
      <c r="V61" t="s">
        <v>74</v>
      </c>
      <c r="W61" t="s">
        <v>594</v>
      </c>
      <c r="X61" t="s">
        <v>595</v>
      </c>
      <c r="Y61" t="s">
        <v>74</v>
      </c>
      <c r="Z61" t="s">
        <v>74</v>
      </c>
      <c r="AA61" t="s">
        <v>74</v>
      </c>
      <c r="AB61" t="s">
        <v>74</v>
      </c>
      <c r="AC61" t="s">
        <v>74</v>
      </c>
      <c r="AD61" t="s">
        <v>74</v>
      </c>
      <c r="AE61" t="s">
        <v>74</v>
      </c>
      <c r="AF61" t="s">
        <v>74</v>
      </c>
      <c r="AG61">
        <v>5</v>
      </c>
      <c r="AH61">
        <v>1</v>
      </c>
      <c r="AI61">
        <v>1</v>
      </c>
      <c r="AJ61">
        <v>0</v>
      </c>
      <c r="AK61">
        <v>1</v>
      </c>
      <c r="AL61" t="s">
        <v>109</v>
      </c>
      <c r="AM61" t="s">
        <v>110</v>
      </c>
      <c r="AN61" t="s">
        <v>111</v>
      </c>
      <c r="AO61" t="s">
        <v>91</v>
      </c>
      <c r="AP61" t="s">
        <v>74</v>
      </c>
      <c r="AQ61" t="s">
        <v>74</v>
      </c>
      <c r="AR61" t="s">
        <v>93</v>
      </c>
      <c r="AS61" t="s">
        <v>94</v>
      </c>
      <c r="AT61" t="s">
        <v>95</v>
      </c>
      <c r="AU61">
        <v>2008</v>
      </c>
      <c r="AV61">
        <v>43</v>
      </c>
      <c r="AW61">
        <v>7</v>
      </c>
      <c r="AX61" t="s">
        <v>74</v>
      </c>
      <c r="AY61" t="s">
        <v>96</v>
      </c>
      <c r="AZ61" t="s">
        <v>74</v>
      </c>
      <c r="BA61" t="s">
        <v>74</v>
      </c>
      <c r="BB61" t="s">
        <v>596</v>
      </c>
      <c r="BC61" t="s">
        <v>596</v>
      </c>
      <c r="BD61" t="s">
        <v>74</v>
      </c>
      <c r="BE61" t="s">
        <v>74</v>
      </c>
      <c r="BF61" t="s">
        <v>74</v>
      </c>
      <c r="BG61" t="s">
        <v>74</v>
      </c>
      <c r="BH61" t="s">
        <v>74</v>
      </c>
      <c r="BI61">
        <v>1</v>
      </c>
      <c r="BJ61" t="s">
        <v>98</v>
      </c>
      <c r="BK61" t="s">
        <v>113</v>
      </c>
      <c r="BL61" t="s">
        <v>98</v>
      </c>
      <c r="BM61" t="s">
        <v>100</v>
      </c>
      <c r="BN61" t="s">
        <v>74</v>
      </c>
      <c r="BO61" t="s">
        <v>74</v>
      </c>
      <c r="BP61" t="s">
        <v>74</v>
      </c>
      <c r="BQ61" t="s">
        <v>74</v>
      </c>
      <c r="BR61" t="s">
        <v>101</v>
      </c>
      <c r="BS61" t="s">
        <v>597</v>
      </c>
      <c r="BT61" t="str">
        <f>HYPERLINK("https%3A%2F%2Fwww.webofscience.com%2Fwos%2Fwoscc%2Ffull-record%2FWOS:000257683100083","View Full Record in Web of Science")</f>
        <v>View Full Record in Web of Science</v>
      </c>
    </row>
    <row r="62" spans="1:72" x14ac:dyDescent="0.15">
      <c r="A62" t="s">
        <v>72</v>
      </c>
      <c r="B62" t="s">
        <v>598</v>
      </c>
      <c r="C62" t="s">
        <v>74</v>
      </c>
      <c r="D62" t="s">
        <v>74</v>
      </c>
      <c r="E62" t="s">
        <v>74</v>
      </c>
      <c r="F62" t="s">
        <v>599</v>
      </c>
      <c r="G62" t="s">
        <v>74</v>
      </c>
      <c r="H62" t="s">
        <v>74</v>
      </c>
      <c r="I62" t="s">
        <v>600</v>
      </c>
      <c r="J62" t="s">
        <v>77</v>
      </c>
      <c r="K62" t="s">
        <v>74</v>
      </c>
      <c r="L62" t="s">
        <v>74</v>
      </c>
      <c r="M62" t="s">
        <v>78</v>
      </c>
      <c r="N62" t="s">
        <v>52</v>
      </c>
      <c r="O62" t="s">
        <v>79</v>
      </c>
      <c r="P62" t="s">
        <v>80</v>
      </c>
      <c r="Q62" t="s">
        <v>81</v>
      </c>
      <c r="R62" t="s">
        <v>74</v>
      </c>
      <c r="S62" t="s">
        <v>82</v>
      </c>
      <c r="T62" t="s">
        <v>74</v>
      </c>
      <c r="U62" t="s">
        <v>74</v>
      </c>
      <c r="V62" t="s">
        <v>74</v>
      </c>
      <c r="W62" t="s">
        <v>601</v>
      </c>
      <c r="X62" t="s">
        <v>602</v>
      </c>
      <c r="Y62" t="s">
        <v>74</v>
      </c>
      <c r="Z62" t="s">
        <v>74</v>
      </c>
      <c r="AA62" t="s">
        <v>603</v>
      </c>
      <c r="AB62" t="s">
        <v>604</v>
      </c>
      <c r="AC62" t="s">
        <v>74</v>
      </c>
      <c r="AD62" t="s">
        <v>74</v>
      </c>
      <c r="AE62" t="s">
        <v>74</v>
      </c>
      <c r="AF62" t="s">
        <v>74</v>
      </c>
      <c r="AG62">
        <v>6</v>
      </c>
      <c r="AH62">
        <v>0</v>
      </c>
      <c r="AI62">
        <v>0</v>
      </c>
      <c r="AJ62">
        <v>0</v>
      </c>
      <c r="AK62">
        <v>2</v>
      </c>
      <c r="AL62" t="s">
        <v>109</v>
      </c>
      <c r="AM62" t="s">
        <v>110</v>
      </c>
      <c r="AN62" t="s">
        <v>111</v>
      </c>
      <c r="AO62" t="s">
        <v>91</v>
      </c>
      <c r="AP62" t="s">
        <v>74</v>
      </c>
      <c r="AQ62" t="s">
        <v>74</v>
      </c>
      <c r="AR62" t="s">
        <v>93</v>
      </c>
      <c r="AS62" t="s">
        <v>94</v>
      </c>
      <c r="AT62" t="s">
        <v>95</v>
      </c>
      <c r="AU62">
        <v>2008</v>
      </c>
      <c r="AV62">
        <v>43</v>
      </c>
      <c r="AW62">
        <v>7</v>
      </c>
      <c r="AX62" t="s">
        <v>74</v>
      </c>
      <c r="AY62" t="s">
        <v>96</v>
      </c>
      <c r="AZ62" t="s">
        <v>74</v>
      </c>
      <c r="BA62" t="s">
        <v>74</v>
      </c>
      <c r="BB62" t="s">
        <v>596</v>
      </c>
      <c r="BC62" t="s">
        <v>596</v>
      </c>
      <c r="BD62" t="s">
        <v>74</v>
      </c>
      <c r="BE62" t="s">
        <v>74</v>
      </c>
      <c r="BF62" t="s">
        <v>74</v>
      </c>
      <c r="BG62" t="s">
        <v>74</v>
      </c>
      <c r="BH62" t="s">
        <v>74</v>
      </c>
      <c r="BI62">
        <v>1</v>
      </c>
      <c r="BJ62" t="s">
        <v>98</v>
      </c>
      <c r="BK62" t="s">
        <v>113</v>
      </c>
      <c r="BL62" t="s">
        <v>98</v>
      </c>
      <c r="BM62" t="s">
        <v>100</v>
      </c>
      <c r="BN62" t="s">
        <v>74</v>
      </c>
      <c r="BO62" t="s">
        <v>74</v>
      </c>
      <c r="BP62" t="s">
        <v>74</v>
      </c>
      <c r="BQ62" t="s">
        <v>74</v>
      </c>
      <c r="BR62" t="s">
        <v>101</v>
      </c>
      <c r="BS62" t="s">
        <v>605</v>
      </c>
      <c r="BT62" t="str">
        <f>HYPERLINK("https%3A%2F%2Fwww.webofscience.com%2Fwos%2Fwoscc%2Ffull-record%2FWOS:000257683100084","View Full Record in Web of Science")</f>
        <v>View Full Record in Web of Science</v>
      </c>
    </row>
    <row r="63" spans="1:72" x14ac:dyDescent="0.15">
      <c r="A63" t="s">
        <v>72</v>
      </c>
      <c r="B63" t="s">
        <v>606</v>
      </c>
      <c r="C63" t="s">
        <v>74</v>
      </c>
      <c r="D63" t="s">
        <v>74</v>
      </c>
      <c r="E63" t="s">
        <v>74</v>
      </c>
      <c r="F63" t="s">
        <v>607</v>
      </c>
      <c r="G63" t="s">
        <v>74</v>
      </c>
      <c r="H63" t="s">
        <v>74</v>
      </c>
      <c r="I63" t="s">
        <v>608</v>
      </c>
      <c r="J63" t="s">
        <v>77</v>
      </c>
      <c r="K63" t="s">
        <v>74</v>
      </c>
      <c r="L63" t="s">
        <v>74</v>
      </c>
      <c r="M63" t="s">
        <v>78</v>
      </c>
      <c r="N63" t="s">
        <v>52</v>
      </c>
      <c r="O63" t="s">
        <v>79</v>
      </c>
      <c r="P63" t="s">
        <v>80</v>
      </c>
      <c r="Q63" t="s">
        <v>81</v>
      </c>
      <c r="R63" t="s">
        <v>74</v>
      </c>
      <c r="S63" t="s">
        <v>82</v>
      </c>
      <c r="T63" t="s">
        <v>74</v>
      </c>
      <c r="U63" t="s">
        <v>74</v>
      </c>
      <c r="V63" t="s">
        <v>74</v>
      </c>
      <c r="W63" t="s">
        <v>609</v>
      </c>
      <c r="X63" t="s">
        <v>610</v>
      </c>
      <c r="Y63" t="s">
        <v>74</v>
      </c>
      <c r="Z63" t="s">
        <v>611</v>
      </c>
      <c r="AA63" t="s">
        <v>74</v>
      </c>
      <c r="AB63" t="s">
        <v>74</v>
      </c>
      <c r="AC63" t="s">
        <v>74</v>
      </c>
      <c r="AD63" t="s">
        <v>74</v>
      </c>
      <c r="AE63" t="s">
        <v>74</v>
      </c>
      <c r="AF63" t="s">
        <v>74</v>
      </c>
      <c r="AG63">
        <v>6</v>
      </c>
      <c r="AH63">
        <v>0</v>
      </c>
      <c r="AI63">
        <v>0</v>
      </c>
      <c r="AJ63">
        <v>0</v>
      </c>
      <c r="AK63">
        <v>1</v>
      </c>
      <c r="AL63" t="s">
        <v>109</v>
      </c>
      <c r="AM63" t="s">
        <v>110</v>
      </c>
      <c r="AN63" t="s">
        <v>111</v>
      </c>
      <c r="AO63" t="s">
        <v>91</v>
      </c>
      <c r="AP63" t="s">
        <v>74</v>
      </c>
      <c r="AQ63" t="s">
        <v>74</v>
      </c>
      <c r="AR63" t="s">
        <v>93</v>
      </c>
      <c r="AS63" t="s">
        <v>94</v>
      </c>
      <c r="AT63" t="s">
        <v>95</v>
      </c>
      <c r="AU63">
        <v>2008</v>
      </c>
      <c r="AV63">
        <v>43</v>
      </c>
      <c r="AW63">
        <v>7</v>
      </c>
      <c r="AX63" t="s">
        <v>74</v>
      </c>
      <c r="AY63" t="s">
        <v>74</v>
      </c>
      <c r="AZ63" t="s">
        <v>74</v>
      </c>
      <c r="BA63" t="s">
        <v>74</v>
      </c>
      <c r="BB63" t="s">
        <v>580</v>
      </c>
      <c r="BC63" t="s">
        <v>580</v>
      </c>
      <c r="BD63" t="s">
        <v>74</v>
      </c>
      <c r="BE63" t="s">
        <v>74</v>
      </c>
      <c r="BF63" t="s">
        <v>74</v>
      </c>
      <c r="BG63" t="s">
        <v>74</v>
      </c>
      <c r="BH63" t="s">
        <v>74</v>
      </c>
      <c r="BI63">
        <v>1</v>
      </c>
      <c r="BJ63" t="s">
        <v>98</v>
      </c>
      <c r="BK63" t="s">
        <v>419</v>
      </c>
      <c r="BL63" t="s">
        <v>98</v>
      </c>
      <c r="BM63" t="s">
        <v>100</v>
      </c>
      <c r="BN63" t="s">
        <v>74</v>
      </c>
      <c r="BO63" t="s">
        <v>74</v>
      </c>
      <c r="BP63" t="s">
        <v>74</v>
      </c>
      <c r="BQ63" t="s">
        <v>74</v>
      </c>
      <c r="BR63" t="s">
        <v>101</v>
      </c>
      <c r="BS63" t="s">
        <v>612</v>
      </c>
      <c r="BT63" t="str">
        <f>HYPERLINK("https%3A%2F%2Fwww.webofscience.com%2Fwos%2Fwoscc%2Ffull-record%2FWOS:000257683100343","View Full Record in Web of Science")</f>
        <v>View Full Record in Web of Science</v>
      </c>
    </row>
    <row r="64" spans="1:72" x14ac:dyDescent="0.15">
      <c r="A64" t="s">
        <v>72</v>
      </c>
      <c r="B64" t="s">
        <v>613</v>
      </c>
      <c r="C64" t="s">
        <v>74</v>
      </c>
      <c r="D64" t="s">
        <v>74</v>
      </c>
      <c r="E64" t="s">
        <v>74</v>
      </c>
      <c r="F64" t="s">
        <v>614</v>
      </c>
      <c r="G64" t="s">
        <v>74</v>
      </c>
      <c r="H64" t="s">
        <v>74</v>
      </c>
      <c r="I64" t="s">
        <v>615</v>
      </c>
      <c r="J64" t="s">
        <v>77</v>
      </c>
      <c r="K64" t="s">
        <v>74</v>
      </c>
      <c r="L64" t="s">
        <v>74</v>
      </c>
      <c r="M64" t="s">
        <v>78</v>
      </c>
      <c r="N64" t="s">
        <v>52</v>
      </c>
      <c r="O64" t="s">
        <v>79</v>
      </c>
      <c r="P64" t="s">
        <v>80</v>
      </c>
      <c r="Q64" t="s">
        <v>81</v>
      </c>
      <c r="R64" t="s">
        <v>74</v>
      </c>
      <c r="S64" t="s">
        <v>82</v>
      </c>
      <c r="T64" t="s">
        <v>74</v>
      </c>
      <c r="U64" t="s">
        <v>616</v>
      </c>
      <c r="V64" t="s">
        <v>74</v>
      </c>
      <c r="W64" t="s">
        <v>617</v>
      </c>
      <c r="X64" t="s">
        <v>618</v>
      </c>
      <c r="Y64" t="s">
        <v>74</v>
      </c>
      <c r="Z64" t="s">
        <v>619</v>
      </c>
      <c r="AA64" t="s">
        <v>449</v>
      </c>
      <c r="AB64" t="s">
        <v>74</v>
      </c>
      <c r="AC64" t="s">
        <v>74</v>
      </c>
      <c r="AD64" t="s">
        <v>74</v>
      </c>
      <c r="AE64" t="s">
        <v>74</v>
      </c>
      <c r="AF64" t="s">
        <v>74</v>
      </c>
      <c r="AG64">
        <v>2</v>
      </c>
      <c r="AH64">
        <v>0</v>
      </c>
      <c r="AI64">
        <v>0</v>
      </c>
      <c r="AJ64">
        <v>0</v>
      </c>
      <c r="AK64">
        <v>1</v>
      </c>
      <c r="AL64" t="s">
        <v>109</v>
      </c>
      <c r="AM64" t="s">
        <v>110</v>
      </c>
      <c r="AN64" t="s">
        <v>111</v>
      </c>
      <c r="AO64" t="s">
        <v>91</v>
      </c>
      <c r="AP64" t="s">
        <v>74</v>
      </c>
      <c r="AQ64" t="s">
        <v>74</v>
      </c>
      <c r="AR64" t="s">
        <v>93</v>
      </c>
      <c r="AS64" t="s">
        <v>94</v>
      </c>
      <c r="AT64" t="s">
        <v>95</v>
      </c>
      <c r="AU64">
        <v>2008</v>
      </c>
      <c r="AV64">
        <v>43</v>
      </c>
      <c r="AW64">
        <v>7</v>
      </c>
      <c r="AX64" t="s">
        <v>74</v>
      </c>
      <c r="AY64" t="s">
        <v>96</v>
      </c>
      <c r="AZ64" t="s">
        <v>74</v>
      </c>
      <c r="BA64" t="s">
        <v>74</v>
      </c>
      <c r="BB64" t="s">
        <v>620</v>
      </c>
      <c r="BC64" t="s">
        <v>620</v>
      </c>
      <c r="BD64" t="s">
        <v>74</v>
      </c>
      <c r="BE64" t="s">
        <v>74</v>
      </c>
      <c r="BF64" t="s">
        <v>74</v>
      </c>
      <c r="BG64" t="s">
        <v>74</v>
      </c>
      <c r="BH64" t="s">
        <v>74</v>
      </c>
      <c r="BI64">
        <v>1</v>
      </c>
      <c r="BJ64" t="s">
        <v>98</v>
      </c>
      <c r="BK64" t="s">
        <v>113</v>
      </c>
      <c r="BL64" t="s">
        <v>98</v>
      </c>
      <c r="BM64" t="s">
        <v>100</v>
      </c>
      <c r="BN64" t="s">
        <v>74</v>
      </c>
      <c r="BO64" t="s">
        <v>74</v>
      </c>
      <c r="BP64" t="s">
        <v>74</v>
      </c>
      <c r="BQ64" t="s">
        <v>74</v>
      </c>
      <c r="BR64" t="s">
        <v>101</v>
      </c>
      <c r="BS64" t="s">
        <v>621</v>
      </c>
      <c r="BT64" t="str">
        <f>HYPERLINK("https%3A%2F%2Fwww.webofscience.com%2Fwos%2Fwoscc%2Ffull-record%2FWOS:000257683100085","View Full Record in Web of Science")</f>
        <v>View Full Record in Web of Science</v>
      </c>
    </row>
    <row r="65" spans="1:72" x14ac:dyDescent="0.15">
      <c r="A65" t="s">
        <v>72</v>
      </c>
      <c r="B65" t="s">
        <v>622</v>
      </c>
      <c r="C65" t="s">
        <v>74</v>
      </c>
      <c r="D65" t="s">
        <v>74</v>
      </c>
      <c r="E65" t="s">
        <v>74</v>
      </c>
      <c r="F65" t="s">
        <v>623</v>
      </c>
      <c r="G65" t="s">
        <v>74</v>
      </c>
      <c r="H65" t="s">
        <v>74</v>
      </c>
      <c r="I65" t="s">
        <v>624</v>
      </c>
      <c r="J65" t="s">
        <v>77</v>
      </c>
      <c r="K65" t="s">
        <v>74</v>
      </c>
      <c r="L65" t="s">
        <v>74</v>
      </c>
      <c r="M65" t="s">
        <v>78</v>
      </c>
      <c r="N65" t="s">
        <v>52</v>
      </c>
      <c r="O65" t="s">
        <v>79</v>
      </c>
      <c r="P65" t="s">
        <v>80</v>
      </c>
      <c r="Q65" t="s">
        <v>81</v>
      </c>
      <c r="R65" t="s">
        <v>74</v>
      </c>
      <c r="S65" t="s">
        <v>82</v>
      </c>
      <c r="T65" t="s">
        <v>74</v>
      </c>
      <c r="U65" t="s">
        <v>625</v>
      </c>
      <c r="V65" t="s">
        <v>74</v>
      </c>
      <c r="W65" t="s">
        <v>626</v>
      </c>
      <c r="X65" t="s">
        <v>627</v>
      </c>
      <c r="Y65" t="s">
        <v>74</v>
      </c>
      <c r="Z65" t="s">
        <v>628</v>
      </c>
      <c r="AA65" t="s">
        <v>74</v>
      </c>
      <c r="AB65" t="s">
        <v>74</v>
      </c>
      <c r="AC65" t="s">
        <v>74</v>
      </c>
      <c r="AD65" t="s">
        <v>74</v>
      </c>
      <c r="AE65" t="s">
        <v>74</v>
      </c>
      <c r="AF65" t="s">
        <v>74</v>
      </c>
      <c r="AG65">
        <v>4</v>
      </c>
      <c r="AH65">
        <v>0</v>
      </c>
      <c r="AI65">
        <v>0</v>
      </c>
      <c r="AJ65">
        <v>1</v>
      </c>
      <c r="AK65">
        <v>3</v>
      </c>
      <c r="AL65" t="s">
        <v>109</v>
      </c>
      <c r="AM65" t="s">
        <v>110</v>
      </c>
      <c r="AN65" t="s">
        <v>111</v>
      </c>
      <c r="AO65" t="s">
        <v>91</v>
      </c>
      <c r="AP65" t="s">
        <v>74</v>
      </c>
      <c r="AQ65" t="s">
        <v>74</v>
      </c>
      <c r="AR65" t="s">
        <v>93</v>
      </c>
      <c r="AS65" t="s">
        <v>94</v>
      </c>
      <c r="AT65" t="s">
        <v>95</v>
      </c>
      <c r="AU65">
        <v>2008</v>
      </c>
      <c r="AV65">
        <v>43</v>
      </c>
      <c r="AW65">
        <v>7</v>
      </c>
      <c r="AX65" t="s">
        <v>74</v>
      </c>
      <c r="AY65" t="s">
        <v>96</v>
      </c>
      <c r="AZ65" t="s">
        <v>74</v>
      </c>
      <c r="BA65" t="s">
        <v>74</v>
      </c>
      <c r="BB65" t="s">
        <v>620</v>
      </c>
      <c r="BC65" t="s">
        <v>620</v>
      </c>
      <c r="BD65" t="s">
        <v>74</v>
      </c>
      <c r="BE65" t="s">
        <v>74</v>
      </c>
      <c r="BF65" t="s">
        <v>74</v>
      </c>
      <c r="BG65" t="s">
        <v>74</v>
      </c>
      <c r="BH65" t="s">
        <v>74</v>
      </c>
      <c r="BI65">
        <v>1</v>
      </c>
      <c r="BJ65" t="s">
        <v>98</v>
      </c>
      <c r="BK65" t="s">
        <v>113</v>
      </c>
      <c r="BL65" t="s">
        <v>98</v>
      </c>
      <c r="BM65" t="s">
        <v>100</v>
      </c>
      <c r="BN65" t="s">
        <v>74</v>
      </c>
      <c r="BO65" t="s">
        <v>74</v>
      </c>
      <c r="BP65" t="s">
        <v>74</v>
      </c>
      <c r="BQ65" t="s">
        <v>74</v>
      </c>
      <c r="BR65" t="s">
        <v>101</v>
      </c>
      <c r="BS65" t="s">
        <v>629</v>
      </c>
      <c r="BT65" t="str">
        <f>HYPERLINK("https%3A%2F%2Fwww.webofscience.com%2Fwos%2Fwoscc%2Ffull-record%2FWOS:000257683100086","View Full Record in Web of Science")</f>
        <v>View Full Record in Web of Science</v>
      </c>
    </row>
    <row r="66" spans="1:72" x14ac:dyDescent="0.15">
      <c r="A66" t="s">
        <v>72</v>
      </c>
      <c r="B66" t="s">
        <v>630</v>
      </c>
      <c r="C66" t="s">
        <v>74</v>
      </c>
      <c r="D66" t="s">
        <v>74</v>
      </c>
      <c r="E66" t="s">
        <v>74</v>
      </c>
      <c r="F66" t="s">
        <v>631</v>
      </c>
      <c r="G66" t="s">
        <v>74</v>
      </c>
      <c r="H66" t="s">
        <v>74</v>
      </c>
      <c r="I66" t="s">
        <v>632</v>
      </c>
      <c r="J66" t="s">
        <v>77</v>
      </c>
      <c r="K66" t="s">
        <v>74</v>
      </c>
      <c r="L66" t="s">
        <v>74</v>
      </c>
      <c r="M66" t="s">
        <v>78</v>
      </c>
      <c r="N66" t="s">
        <v>52</v>
      </c>
      <c r="O66" t="s">
        <v>79</v>
      </c>
      <c r="P66" t="s">
        <v>80</v>
      </c>
      <c r="Q66" t="s">
        <v>81</v>
      </c>
      <c r="R66" t="s">
        <v>74</v>
      </c>
      <c r="S66" t="s">
        <v>82</v>
      </c>
      <c r="T66" t="s">
        <v>74</v>
      </c>
      <c r="U66" t="s">
        <v>74</v>
      </c>
      <c r="V66" t="s">
        <v>74</v>
      </c>
      <c r="W66" t="s">
        <v>633</v>
      </c>
      <c r="X66" t="s">
        <v>403</v>
      </c>
      <c r="Y66" t="s">
        <v>74</v>
      </c>
      <c r="Z66" t="s">
        <v>634</v>
      </c>
      <c r="AA66" t="s">
        <v>635</v>
      </c>
      <c r="AB66" t="s">
        <v>74</v>
      </c>
      <c r="AC66" t="s">
        <v>74</v>
      </c>
      <c r="AD66" t="s">
        <v>74</v>
      </c>
      <c r="AE66" t="s">
        <v>74</v>
      </c>
      <c r="AF66" t="s">
        <v>74</v>
      </c>
      <c r="AG66">
        <v>12</v>
      </c>
      <c r="AH66">
        <v>1</v>
      </c>
      <c r="AI66">
        <v>1</v>
      </c>
      <c r="AJ66">
        <v>0</v>
      </c>
      <c r="AK66">
        <v>0</v>
      </c>
      <c r="AL66" t="s">
        <v>109</v>
      </c>
      <c r="AM66" t="s">
        <v>110</v>
      </c>
      <c r="AN66" t="s">
        <v>111</v>
      </c>
      <c r="AO66" t="s">
        <v>91</v>
      </c>
      <c r="AP66" t="s">
        <v>74</v>
      </c>
      <c r="AQ66" t="s">
        <v>74</v>
      </c>
      <c r="AR66" t="s">
        <v>93</v>
      </c>
      <c r="AS66" t="s">
        <v>94</v>
      </c>
      <c r="AT66" t="s">
        <v>95</v>
      </c>
      <c r="AU66">
        <v>2008</v>
      </c>
      <c r="AV66">
        <v>43</v>
      </c>
      <c r="AW66">
        <v>7</v>
      </c>
      <c r="AX66" t="s">
        <v>74</v>
      </c>
      <c r="AY66" t="s">
        <v>96</v>
      </c>
      <c r="AZ66" t="s">
        <v>74</v>
      </c>
      <c r="BA66" t="s">
        <v>74</v>
      </c>
      <c r="BB66" t="s">
        <v>636</v>
      </c>
      <c r="BC66" t="s">
        <v>636</v>
      </c>
      <c r="BD66" t="s">
        <v>74</v>
      </c>
      <c r="BE66" t="s">
        <v>74</v>
      </c>
      <c r="BF66" t="s">
        <v>74</v>
      </c>
      <c r="BG66" t="s">
        <v>74</v>
      </c>
      <c r="BH66" t="s">
        <v>74</v>
      </c>
      <c r="BI66">
        <v>1</v>
      </c>
      <c r="BJ66" t="s">
        <v>98</v>
      </c>
      <c r="BK66" t="s">
        <v>113</v>
      </c>
      <c r="BL66" t="s">
        <v>98</v>
      </c>
      <c r="BM66" t="s">
        <v>100</v>
      </c>
      <c r="BN66" t="s">
        <v>74</v>
      </c>
      <c r="BO66" t="s">
        <v>74</v>
      </c>
      <c r="BP66" t="s">
        <v>74</v>
      </c>
      <c r="BQ66" t="s">
        <v>74</v>
      </c>
      <c r="BR66" t="s">
        <v>101</v>
      </c>
      <c r="BS66" t="s">
        <v>637</v>
      </c>
      <c r="BT66" t="str">
        <f>HYPERLINK("https%3A%2F%2Fwww.webofscience.com%2Fwos%2Fwoscc%2Ffull-record%2FWOS:000257683100087","View Full Record in Web of Science")</f>
        <v>View Full Record in Web of Science</v>
      </c>
    </row>
    <row r="67" spans="1:72" x14ac:dyDescent="0.15">
      <c r="A67" t="s">
        <v>72</v>
      </c>
      <c r="B67" t="s">
        <v>638</v>
      </c>
      <c r="C67" t="s">
        <v>74</v>
      </c>
      <c r="D67" t="s">
        <v>74</v>
      </c>
      <c r="E67" t="s">
        <v>74</v>
      </c>
      <c r="F67" t="s">
        <v>639</v>
      </c>
      <c r="G67" t="s">
        <v>74</v>
      </c>
      <c r="H67" t="s">
        <v>74</v>
      </c>
      <c r="I67" t="s">
        <v>640</v>
      </c>
      <c r="J67" t="s">
        <v>77</v>
      </c>
      <c r="K67" t="s">
        <v>74</v>
      </c>
      <c r="L67" t="s">
        <v>74</v>
      </c>
      <c r="M67" t="s">
        <v>78</v>
      </c>
      <c r="N67" t="s">
        <v>52</v>
      </c>
      <c r="O67" t="s">
        <v>79</v>
      </c>
      <c r="P67" t="s">
        <v>80</v>
      </c>
      <c r="Q67" t="s">
        <v>81</v>
      </c>
      <c r="R67" t="s">
        <v>74</v>
      </c>
      <c r="S67" t="s">
        <v>82</v>
      </c>
      <c r="T67" t="s">
        <v>74</v>
      </c>
      <c r="U67" t="s">
        <v>641</v>
      </c>
      <c r="V67" t="s">
        <v>74</v>
      </c>
      <c r="W67" t="s">
        <v>642</v>
      </c>
      <c r="X67" t="s">
        <v>643</v>
      </c>
      <c r="Y67" t="s">
        <v>74</v>
      </c>
      <c r="Z67" t="s">
        <v>644</v>
      </c>
      <c r="AA67" t="s">
        <v>74</v>
      </c>
      <c r="AB67" t="s">
        <v>74</v>
      </c>
      <c r="AC67" t="s">
        <v>332</v>
      </c>
      <c r="AD67" t="s">
        <v>333</v>
      </c>
      <c r="AE67" t="s">
        <v>74</v>
      </c>
      <c r="AF67" t="s">
        <v>74</v>
      </c>
      <c r="AG67">
        <v>17</v>
      </c>
      <c r="AH67">
        <v>3</v>
      </c>
      <c r="AI67">
        <v>3</v>
      </c>
      <c r="AJ67">
        <v>0</v>
      </c>
      <c r="AK67">
        <v>0</v>
      </c>
      <c r="AL67" t="s">
        <v>109</v>
      </c>
      <c r="AM67" t="s">
        <v>110</v>
      </c>
      <c r="AN67" t="s">
        <v>111</v>
      </c>
      <c r="AO67" t="s">
        <v>91</v>
      </c>
      <c r="AP67" t="s">
        <v>74</v>
      </c>
      <c r="AQ67" t="s">
        <v>74</v>
      </c>
      <c r="AR67" t="s">
        <v>93</v>
      </c>
      <c r="AS67" t="s">
        <v>94</v>
      </c>
      <c r="AT67" t="s">
        <v>95</v>
      </c>
      <c r="AU67">
        <v>2008</v>
      </c>
      <c r="AV67">
        <v>43</v>
      </c>
      <c r="AW67">
        <v>7</v>
      </c>
      <c r="AX67" t="s">
        <v>74</v>
      </c>
      <c r="AY67" t="s">
        <v>96</v>
      </c>
      <c r="AZ67" t="s">
        <v>74</v>
      </c>
      <c r="BA67" t="s">
        <v>74</v>
      </c>
      <c r="BB67" t="s">
        <v>645</v>
      </c>
      <c r="BC67" t="s">
        <v>645</v>
      </c>
      <c r="BD67" t="s">
        <v>74</v>
      </c>
      <c r="BE67" t="s">
        <v>74</v>
      </c>
      <c r="BF67" t="s">
        <v>74</v>
      </c>
      <c r="BG67" t="s">
        <v>74</v>
      </c>
      <c r="BH67" t="s">
        <v>74</v>
      </c>
      <c r="BI67">
        <v>1</v>
      </c>
      <c r="BJ67" t="s">
        <v>98</v>
      </c>
      <c r="BK67" t="s">
        <v>113</v>
      </c>
      <c r="BL67" t="s">
        <v>98</v>
      </c>
      <c r="BM67" t="s">
        <v>100</v>
      </c>
      <c r="BN67" t="s">
        <v>74</v>
      </c>
      <c r="BO67" t="s">
        <v>74</v>
      </c>
      <c r="BP67" t="s">
        <v>74</v>
      </c>
      <c r="BQ67" t="s">
        <v>74</v>
      </c>
      <c r="BR67" t="s">
        <v>101</v>
      </c>
      <c r="BS67" t="s">
        <v>646</v>
      </c>
      <c r="BT67" t="str">
        <f>HYPERLINK("https%3A%2F%2Fwww.webofscience.com%2Fwos%2Fwoscc%2Ffull-record%2FWOS:000257683100089","View Full Record in Web of Science")</f>
        <v>View Full Record in Web of Science</v>
      </c>
    </row>
    <row r="68" spans="1:72" x14ac:dyDescent="0.15">
      <c r="A68" t="s">
        <v>72</v>
      </c>
      <c r="B68" t="s">
        <v>647</v>
      </c>
      <c r="C68" t="s">
        <v>74</v>
      </c>
      <c r="D68" t="s">
        <v>74</v>
      </c>
      <c r="E68" t="s">
        <v>74</v>
      </c>
      <c r="F68" t="s">
        <v>648</v>
      </c>
      <c r="G68" t="s">
        <v>74</v>
      </c>
      <c r="H68" t="s">
        <v>74</v>
      </c>
      <c r="I68" t="s">
        <v>649</v>
      </c>
      <c r="J68" t="s">
        <v>77</v>
      </c>
      <c r="K68" t="s">
        <v>74</v>
      </c>
      <c r="L68" t="s">
        <v>74</v>
      </c>
      <c r="M68" t="s">
        <v>78</v>
      </c>
      <c r="N68" t="s">
        <v>52</v>
      </c>
      <c r="O68" t="s">
        <v>79</v>
      </c>
      <c r="P68" t="s">
        <v>80</v>
      </c>
      <c r="Q68" t="s">
        <v>81</v>
      </c>
      <c r="R68" t="s">
        <v>74</v>
      </c>
      <c r="S68" t="s">
        <v>82</v>
      </c>
      <c r="T68" t="s">
        <v>74</v>
      </c>
      <c r="U68" t="s">
        <v>650</v>
      </c>
      <c r="V68" t="s">
        <v>74</v>
      </c>
      <c r="W68" t="s">
        <v>651</v>
      </c>
      <c r="X68" t="s">
        <v>652</v>
      </c>
      <c r="Y68" t="s">
        <v>74</v>
      </c>
      <c r="Z68" t="s">
        <v>644</v>
      </c>
      <c r="AA68" t="s">
        <v>653</v>
      </c>
      <c r="AB68" t="s">
        <v>654</v>
      </c>
      <c r="AC68" t="s">
        <v>655</v>
      </c>
      <c r="AD68" t="s">
        <v>522</v>
      </c>
      <c r="AE68" t="s">
        <v>74</v>
      </c>
      <c r="AF68" t="s">
        <v>74</v>
      </c>
      <c r="AG68">
        <v>9</v>
      </c>
      <c r="AH68">
        <v>0</v>
      </c>
      <c r="AI68">
        <v>0</v>
      </c>
      <c r="AJ68">
        <v>0</v>
      </c>
      <c r="AK68">
        <v>0</v>
      </c>
      <c r="AL68" t="s">
        <v>149</v>
      </c>
      <c r="AM68" t="s">
        <v>150</v>
      </c>
      <c r="AN68" t="s">
        <v>151</v>
      </c>
      <c r="AO68" t="s">
        <v>91</v>
      </c>
      <c r="AP68" t="s">
        <v>74</v>
      </c>
      <c r="AQ68" t="s">
        <v>74</v>
      </c>
      <c r="AR68" t="s">
        <v>93</v>
      </c>
      <c r="AS68" t="s">
        <v>94</v>
      </c>
      <c r="AT68" t="s">
        <v>95</v>
      </c>
      <c r="AU68">
        <v>2008</v>
      </c>
      <c r="AV68">
        <v>43</v>
      </c>
      <c r="AW68">
        <v>7</v>
      </c>
      <c r="AX68" t="s">
        <v>74</v>
      </c>
      <c r="AY68" t="s">
        <v>96</v>
      </c>
      <c r="AZ68" t="s">
        <v>74</v>
      </c>
      <c r="BA68" t="s">
        <v>74</v>
      </c>
      <c r="BB68" t="s">
        <v>636</v>
      </c>
      <c r="BC68" t="s">
        <v>636</v>
      </c>
      <c r="BD68" t="s">
        <v>74</v>
      </c>
      <c r="BE68" t="s">
        <v>74</v>
      </c>
      <c r="BF68" t="s">
        <v>74</v>
      </c>
      <c r="BG68" t="s">
        <v>74</v>
      </c>
      <c r="BH68" t="s">
        <v>74</v>
      </c>
      <c r="BI68">
        <v>1</v>
      </c>
      <c r="BJ68" t="s">
        <v>98</v>
      </c>
      <c r="BK68" t="s">
        <v>99</v>
      </c>
      <c r="BL68" t="s">
        <v>98</v>
      </c>
      <c r="BM68" t="s">
        <v>100</v>
      </c>
      <c r="BN68" t="s">
        <v>74</v>
      </c>
      <c r="BO68" t="s">
        <v>74</v>
      </c>
      <c r="BP68" t="s">
        <v>74</v>
      </c>
      <c r="BQ68" t="s">
        <v>74</v>
      </c>
      <c r="BR68" t="s">
        <v>101</v>
      </c>
      <c r="BS68" t="s">
        <v>656</v>
      </c>
      <c r="BT68" t="str">
        <f>HYPERLINK("https%3A%2F%2Fwww.webofscience.com%2Fwos%2Fwoscc%2Ffull-record%2FWOS:000257683100088","View Full Record in Web of Science")</f>
        <v>View Full Record in Web of Science</v>
      </c>
    </row>
    <row r="69" spans="1:72" x14ac:dyDescent="0.15">
      <c r="A69" t="s">
        <v>72</v>
      </c>
      <c r="B69" t="s">
        <v>657</v>
      </c>
      <c r="C69" t="s">
        <v>74</v>
      </c>
      <c r="D69" t="s">
        <v>74</v>
      </c>
      <c r="E69" t="s">
        <v>74</v>
      </c>
      <c r="F69" t="s">
        <v>658</v>
      </c>
      <c r="G69" t="s">
        <v>74</v>
      </c>
      <c r="H69" t="s">
        <v>74</v>
      </c>
      <c r="I69" t="s">
        <v>659</v>
      </c>
      <c r="J69" t="s">
        <v>77</v>
      </c>
      <c r="K69" t="s">
        <v>74</v>
      </c>
      <c r="L69" t="s">
        <v>74</v>
      </c>
      <c r="M69" t="s">
        <v>78</v>
      </c>
      <c r="N69" t="s">
        <v>52</v>
      </c>
      <c r="O69" t="s">
        <v>79</v>
      </c>
      <c r="P69" t="s">
        <v>80</v>
      </c>
      <c r="Q69" t="s">
        <v>81</v>
      </c>
      <c r="R69" t="s">
        <v>74</v>
      </c>
      <c r="S69" t="s">
        <v>82</v>
      </c>
      <c r="T69" t="s">
        <v>74</v>
      </c>
      <c r="U69" t="s">
        <v>74</v>
      </c>
      <c r="V69" t="s">
        <v>74</v>
      </c>
      <c r="W69" t="s">
        <v>660</v>
      </c>
      <c r="X69" t="s">
        <v>661</v>
      </c>
      <c r="Y69" t="s">
        <v>74</v>
      </c>
      <c r="Z69" t="s">
        <v>662</v>
      </c>
      <c r="AA69" t="s">
        <v>663</v>
      </c>
      <c r="AB69" t="s">
        <v>664</v>
      </c>
      <c r="AC69" t="s">
        <v>74</v>
      </c>
      <c r="AD69" t="s">
        <v>74</v>
      </c>
      <c r="AE69" t="s">
        <v>74</v>
      </c>
      <c r="AF69" t="s">
        <v>74</v>
      </c>
      <c r="AG69">
        <v>6</v>
      </c>
      <c r="AH69">
        <v>0</v>
      </c>
      <c r="AI69">
        <v>0</v>
      </c>
      <c r="AJ69">
        <v>0</v>
      </c>
      <c r="AK69">
        <v>2</v>
      </c>
      <c r="AL69" t="s">
        <v>109</v>
      </c>
      <c r="AM69" t="s">
        <v>110</v>
      </c>
      <c r="AN69" t="s">
        <v>111</v>
      </c>
      <c r="AO69" t="s">
        <v>91</v>
      </c>
      <c r="AP69" t="s">
        <v>74</v>
      </c>
      <c r="AQ69" t="s">
        <v>74</v>
      </c>
      <c r="AR69" t="s">
        <v>93</v>
      </c>
      <c r="AS69" t="s">
        <v>94</v>
      </c>
      <c r="AT69" t="s">
        <v>95</v>
      </c>
      <c r="AU69">
        <v>2008</v>
      </c>
      <c r="AV69">
        <v>43</v>
      </c>
      <c r="AW69">
        <v>7</v>
      </c>
      <c r="AX69" t="s">
        <v>74</v>
      </c>
      <c r="AY69" t="s">
        <v>96</v>
      </c>
      <c r="AZ69" t="s">
        <v>74</v>
      </c>
      <c r="BA69" t="s">
        <v>74</v>
      </c>
      <c r="BB69" t="s">
        <v>645</v>
      </c>
      <c r="BC69" t="s">
        <v>645</v>
      </c>
      <c r="BD69" t="s">
        <v>74</v>
      </c>
      <c r="BE69" t="s">
        <v>74</v>
      </c>
      <c r="BF69" t="s">
        <v>74</v>
      </c>
      <c r="BG69" t="s">
        <v>74</v>
      </c>
      <c r="BH69" t="s">
        <v>74</v>
      </c>
      <c r="BI69">
        <v>1</v>
      </c>
      <c r="BJ69" t="s">
        <v>98</v>
      </c>
      <c r="BK69" t="s">
        <v>113</v>
      </c>
      <c r="BL69" t="s">
        <v>98</v>
      </c>
      <c r="BM69" t="s">
        <v>100</v>
      </c>
      <c r="BN69" t="s">
        <v>74</v>
      </c>
      <c r="BO69" t="s">
        <v>74</v>
      </c>
      <c r="BP69" t="s">
        <v>74</v>
      </c>
      <c r="BQ69" t="s">
        <v>74</v>
      </c>
      <c r="BR69" t="s">
        <v>101</v>
      </c>
      <c r="BS69" t="s">
        <v>665</v>
      </c>
      <c r="BT69" t="str">
        <f>HYPERLINK("https%3A%2F%2Fwww.webofscience.com%2Fwos%2Fwoscc%2Ffull-record%2FWOS:000257683100090","View Full Record in Web of Science")</f>
        <v>View Full Record in Web of Science</v>
      </c>
    </row>
    <row r="70" spans="1:72" x14ac:dyDescent="0.15">
      <c r="A70" t="s">
        <v>72</v>
      </c>
      <c r="B70" t="s">
        <v>666</v>
      </c>
      <c r="C70" t="s">
        <v>74</v>
      </c>
      <c r="D70" t="s">
        <v>74</v>
      </c>
      <c r="E70" t="s">
        <v>74</v>
      </c>
      <c r="F70" t="s">
        <v>667</v>
      </c>
      <c r="G70" t="s">
        <v>74</v>
      </c>
      <c r="H70" t="s">
        <v>74</v>
      </c>
      <c r="I70" t="s">
        <v>668</v>
      </c>
      <c r="J70" t="s">
        <v>77</v>
      </c>
      <c r="K70" t="s">
        <v>74</v>
      </c>
      <c r="L70" t="s">
        <v>74</v>
      </c>
      <c r="M70" t="s">
        <v>78</v>
      </c>
      <c r="N70" t="s">
        <v>52</v>
      </c>
      <c r="O70" t="s">
        <v>79</v>
      </c>
      <c r="P70" t="s">
        <v>80</v>
      </c>
      <c r="Q70" t="s">
        <v>81</v>
      </c>
      <c r="R70" t="s">
        <v>74</v>
      </c>
      <c r="S70" t="s">
        <v>82</v>
      </c>
      <c r="T70" t="s">
        <v>74</v>
      </c>
      <c r="U70" t="s">
        <v>74</v>
      </c>
      <c r="V70" t="s">
        <v>74</v>
      </c>
      <c r="W70" t="s">
        <v>669</v>
      </c>
      <c r="X70" t="s">
        <v>670</v>
      </c>
      <c r="Y70" t="s">
        <v>74</v>
      </c>
      <c r="Z70" t="s">
        <v>671</v>
      </c>
      <c r="AA70" t="s">
        <v>74</v>
      </c>
      <c r="AB70" t="s">
        <v>74</v>
      </c>
      <c r="AC70" t="s">
        <v>74</v>
      </c>
      <c r="AD70" t="s">
        <v>74</v>
      </c>
      <c r="AE70" t="s">
        <v>74</v>
      </c>
      <c r="AF70" t="s">
        <v>74</v>
      </c>
      <c r="AG70">
        <v>2</v>
      </c>
      <c r="AH70">
        <v>0</v>
      </c>
      <c r="AI70">
        <v>0</v>
      </c>
      <c r="AJ70">
        <v>0</v>
      </c>
      <c r="AK70">
        <v>0</v>
      </c>
      <c r="AL70" t="s">
        <v>88</v>
      </c>
      <c r="AM70" t="s">
        <v>89</v>
      </c>
      <c r="AN70" t="s">
        <v>90</v>
      </c>
      <c r="AO70" t="s">
        <v>91</v>
      </c>
      <c r="AP70" t="s">
        <v>92</v>
      </c>
      <c r="AQ70" t="s">
        <v>74</v>
      </c>
      <c r="AR70" t="s">
        <v>93</v>
      </c>
      <c r="AS70" t="s">
        <v>94</v>
      </c>
      <c r="AT70" t="s">
        <v>95</v>
      </c>
      <c r="AU70">
        <v>2008</v>
      </c>
      <c r="AV70">
        <v>43</v>
      </c>
      <c r="AW70">
        <v>7</v>
      </c>
      <c r="AX70" t="s">
        <v>74</v>
      </c>
      <c r="AY70" t="s">
        <v>96</v>
      </c>
      <c r="AZ70" t="s">
        <v>74</v>
      </c>
      <c r="BA70" t="s">
        <v>74</v>
      </c>
      <c r="BB70" t="s">
        <v>672</v>
      </c>
      <c r="BC70" t="s">
        <v>672</v>
      </c>
      <c r="BD70" t="s">
        <v>74</v>
      </c>
      <c r="BE70" t="s">
        <v>74</v>
      </c>
      <c r="BF70" t="s">
        <v>74</v>
      </c>
      <c r="BG70" t="s">
        <v>74</v>
      </c>
      <c r="BH70" t="s">
        <v>74</v>
      </c>
      <c r="BI70">
        <v>1</v>
      </c>
      <c r="BJ70" t="s">
        <v>98</v>
      </c>
      <c r="BK70" t="s">
        <v>99</v>
      </c>
      <c r="BL70" t="s">
        <v>98</v>
      </c>
      <c r="BM70" t="s">
        <v>100</v>
      </c>
      <c r="BN70" t="s">
        <v>74</v>
      </c>
      <c r="BO70" t="s">
        <v>74</v>
      </c>
      <c r="BP70" t="s">
        <v>74</v>
      </c>
      <c r="BQ70" t="s">
        <v>74</v>
      </c>
      <c r="BR70" t="s">
        <v>101</v>
      </c>
      <c r="BS70" t="s">
        <v>673</v>
      </c>
      <c r="BT70" t="str">
        <f>HYPERLINK("https%3A%2F%2Fwww.webofscience.com%2Fwos%2Fwoscc%2Ffull-record%2FWOS:000257683100092","View Full Record in Web of Science")</f>
        <v>View Full Record in Web of Science</v>
      </c>
    </row>
    <row r="71" spans="1:72" x14ac:dyDescent="0.15">
      <c r="A71" t="s">
        <v>72</v>
      </c>
      <c r="B71" t="s">
        <v>674</v>
      </c>
      <c r="C71" t="s">
        <v>74</v>
      </c>
      <c r="D71" t="s">
        <v>74</v>
      </c>
      <c r="E71" t="s">
        <v>74</v>
      </c>
      <c r="F71" t="s">
        <v>675</v>
      </c>
      <c r="G71" t="s">
        <v>74</v>
      </c>
      <c r="H71" t="s">
        <v>74</v>
      </c>
      <c r="I71" t="s">
        <v>676</v>
      </c>
      <c r="J71" t="s">
        <v>77</v>
      </c>
      <c r="K71" t="s">
        <v>74</v>
      </c>
      <c r="L71" t="s">
        <v>74</v>
      </c>
      <c r="M71" t="s">
        <v>78</v>
      </c>
      <c r="N71" t="s">
        <v>52</v>
      </c>
      <c r="O71" t="s">
        <v>79</v>
      </c>
      <c r="P71" t="s">
        <v>80</v>
      </c>
      <c r="Q71" t="s">
        <v>81</v>
      </c>
      <c r="R71" t="s">
        <v>74</v>
      </c>
      <c r="S71" t="s">
        <v>82</v>
      </c>
      <c r="T71" t="s">
        <v>74</v>
      </c>
      <c r="U71" t="s">
        <v>677</v>
      </c>
      <c r="V71" t="s">
        <v>74</v>
      </c>
      <c r="W71" t="s">
        <v>678</v>
      </c>
      <c r="X71" t="s">
        <v>679</v>
      </c>
      <c r="Y71" t="s">
        <v>74</v>
      </c>
      <c r="Z71" t="s">
        <v>680</v>
      </c>
      <c r="AA71" t="s">
        <v>681</v>
      </c>
      <c r="AB71" t="s">
        <v>682</v>
      </c>
      <c r="AC71" t="s">
        <v>74</v>
      </c>
      <c r="AD71" t="s">
        <v>74</v>
      </c>
      <c r="AE71" t="s">
        <v>74</v>
      </c>
      <c r="AF71" t="s">
        <v>74</v>
      </c>
      <c r="AG71">
        <v>7</v>
      </c>
      <c r="AH71">
        <v>0</v>
      </c>
      <c r="AI71">
        <v>0</v>
      </c>
      <c r="AJ71">
        <v>0</v>
      </c>
      <c r="AK71">
        <v>3</v>
      </c>
      <c r="AL71" t="s">
        <v>88</v>
      </c>
      <c r="AM71" t="s">
        <v>89</v>
      </c>
      <c r="AN71" t="s">
        <v>90</v>
      </c>
      <c r="AO71" t="s">
        <v>91</v>
      </c>
      <c r="AP71" t="s">
        <v>92</v>
      </c>
      <c r="AQ71" t="s">
        <v>74</v>
      </c>
      <c r="AR71" t="s">
        <v>93</v>
      </c>
      <c r="AS71" t="s">
        <v>94</v>
      </c>
      <c r="AT71" t="s">
        <v>95</v>
      </c>
      <c r="AU71">
        <v>2008</v>
      </c>
      <c r="AV71">
        <v>43</v>
      </c>
      <c r="AW71">
        <v>7</v>
      </c>
      <c r="AX71" t="s">
        <v>74</v>
      </c>
      <c r="AY71" t="s">
        <v>96</v>
      </c>
      <c r="AZ71" t="s">
        <v>74</v>
      </c>
      <c r="BA71" t="s">
        <v>74</v>
      </c>
      <c r="BB71" t="s">
        <v>672</v>
      </c>
      <c r="BC71" t="s">
        <v>672</v>
      </c>
      <c r="BD71" t="s">
        <v>74</v>
      </c>
      <c r="BE71" t="s">
        <v>74</v>
      </c>
      <c r="BF71" t="s">
        <v>74</v>
      </c>
      <c r="BG71" t="s">
        <v>74</v>
      </c>
      <c r="BH71" t="s">
        <v>74</v>
      </c>
      <c r="BI71">
        <v>1</v>
      </c>
      <c r="BJ71" t="s">
        <v>98</v>
      </c>
      <c r="BK71" t="s">
        <v>99</v>
      </c>
      <c r="BL71" t="s">
        <v>98</v>
      </c>
      <c r="BM71" t="s">
        <v>100</v>
      </c>
      <c r="BN71" t="s">
        <v>74</v>
      </c>
      <c r="BO71" t="s">
        <v>74</v>
      </c>
      <c r="BP71" t="s">
        <v>74</v>
      </c>
      <c r="BQ71" t="s">
        <v>74</v>
      </c>
      <c r="BR71" t="s">
        <v>101</v>
      </c>
      <c r="BS71" t="s">
        <v>683</v>
      </c>
      <c r="BT71" t="str">
        <f>HYPERLINK("https%3A%2F%2Fwww.webofscience.com%2Fwos%2Fwoscc%2Ffull-record%2FWOS:000257683100091","View Full Record in Web of Science")</f>
        <v>View Full Record in Web of Science</v>
      </c>
    </row>
    <row r="72" spans="1:72" x14ac:dyDescent="0.15">
      <c r="A72" t="s">
        <v>72</v>
      </c>
      <c r="B72" t="s">
        <v>684</v>
      </c>
      <c r="C72" t="s">
        <v>74</v>
      </c>
      <c r="D72" t="s">
        <v>74</v>
      </c>
      <c r="E72" t="s">
        <v>74</v>
      </c>
      <c r="F72" t="s">
        <v>685</v>
      </c>
      <c r="G72" t="s">
        <v>74</v>
      </c>
      <c r="H72" t="s">
        <v>74</v>
      </c>
      <c r="I72" t="s">
        <v>686</v>
      </c>
      <c r="J72" t="s">
        <v>77</v>
      </c>
      <c r="K72" t="s">
        <v>74</v>
      </c>
      <c r="L72" t="s">
        <v>74</v>
      </c>
      <c r="M72" t="s">
        <v>78</v>
      </c>
      <c r="N72" t="s">
        <v>52</v>
      </c>
      <c r="O72" t="s">
        <v>79</v>
      </c>
      <c r="P72" t="s">
        <v>80</v>
      </c>
      <c r="Q72" t="s">
        <v>81</v>
      </c>
      <c r="R72" t="s">
        <v>74</v>
      </c>
      <c r="S72" t="s">
        <v>82</v>
      </c>
      <c r="T72" t="s">
        <v>74</v>
      </c>
      <c r="U72" t="s">
        <v>687</v>
      </c>
      <c r="V72" t="s">
        <v>74</v>
      </c>
      <c r="W72" t="s">
        <v>688</v>
      </c>
      <c r="X72" t="s">
        <v>689</v>
      </c>
      <c r="Y72" t="s">
        <v>74</v>
      </c>
      <c r="Z72" t="s">
        <v>690</v>
      </c>
      <c r="AA72" t="s">
        <v>74</v>
      </c>
      <c r="AB72" t="s">
        <v>74</v>
      </c>
      <c r="AC72" t="s">
        <v>74</v>
      </c>
      <c r="AD72" t="s">
        <v>74</v>
      </c>
      <c r="AE72" t="s">
        <v>74</v>
      </c>
      <c r="AF72" t="s">
        <v>74</v>
      </c>
      <c r="AG72">
        <v>4</v>
      </c>
      <c r="AH72">
        <v>0</v>
      </c>
      <c r="AI72">
        <v>0</v>
      </c>
      <c r="AJ72">
        <v>0</v>
      </c>
      <c r="AK72">
        <v>1</v>
      </c>
      <c r="AL72" t="s">
        <v>109</v>
      </c>
      <c r="AM72" t="s">
        <v>110</v>
      </c>
      <c r="AN72" t="s">
        <v>111</v>
      </c>
      <c r="AO72" t="s">
        <v>91</v>
      </c>
      <c r="AP72" t="s">
        <v>74</v>
      </c>
      <c r="AQ72" t="s">
        <v>74</v>
      </c>
      <c r="AR72" t="s">
        <v>93</v>
      </c>
      <c r="AS72" t="s">
        <v>94</v>
      </c>
      <c r="AT72" t="s">
        <v>95</v>
      </c>
      <c r="AU72">
        <v>2008</v>
      </c>
      <c r="AV72">
        <v>43</v>
      </c>
      <c r="AW72">
        <v>7</v>
      </c>
      <c r="AX72" t="s">
        <v>74</v>
      </c>
      <c r="AY72" t="s">
        <v>96</v>
      </c>
      <c r="AZ72" t="s">
        <v>74</v>
      </c>
      <c r="BA72" t="s">
        <v>74</v>
      </c>
      <c r="BB72" t="s">
        <v>691</v>
      </c>
      <c r="BC72" t="s">
        <v>691</v>
      </c>
      <c r="BD72" t="s">
        <v>74</v>
      </c>
      <c r="BE72" t="s">
        <v>74</v>
      </c>
      <c r="BF72" t="s">
        <v>74</v>
      </c>
      <c r="BG72" t="s">
        <v>74</v>
      </c>
      <c r="BH72" t="s">
        <v>74</v>
      </c>
      <c r="BI72">
        <v>1</v>
      </c>
      <c r="BJ72" t="s">
        <v>98</v>
      </c>
      <c r="BK72" t="s">
        <v>113</v>
      </c>
      <c r="BL72" t="s">
        <v>98</v>
      </c>
      <c r="BM72" t="s">
        <v>100</v>
      </c>
      <c r="BN72" t="s">
        <v>74</v>
      </c>
      <c r="BO72" t="s">
        <v>74</v>
      </c>
      <c r="BP72" t="s">
        <v>74</v>
      </c>
      <c r="BQ72" t="s">
        <v>74</v>
      </c>
      <c r="BR72" t="s">
        <v>101</v>
      </c>
      <c r="BS72" t="s">
        <v>692</v>
      </c>
      <c r="BT72" t="str">
        <f>HYPERLINK("https%3A%2F%2Fwww.webofscience.com%2Fwos%2Fwoscc%2Ffull-record%2FWOS:000257683100093","View Full Record in Web of Science")</f>
        <v>View Full Record in Web of Science</v>
      </c>
    </row>
    <row r="73" spans="1:72" x14ac:dyDescent="0.15">
      <c r="A73" t="s">
        <v>72</v>
      </c>
      <c r="B73" t="s">
        <v>693</v>
      </c>
      <c r="C73" t="s">
        <v>74</v>
      </c>
      <c r="D73" t="s">
        <v>74</v>
      </c>
      <c r="E73" t="s">
        <v>74</v>
      </c>
      <c r="F73" t="s">
        <v>694</v>
      </c>
      <c r="G73" t="s">
        <v>74</v>
      </c>
      <c r="H73" t="s">
        <v>74</v>
      </c>
      <c r="I73" t="s">
        <v>695</v>
      </c>
      <c r="J73" t="s">
        <v>77</v>
      </c>
      <c r="K73" t="s">
        <v>74</v>
      </c>
      <c r="L73" t="s">
        <v>74</v>
      </c>
      <c r="M73" t="s">
        <v>78</v>
      </c>
      <c r="N73" t="s">
        <v>52</v>
      </c>
      <c r="O73" t="s">
        <v>79</v>
      </c>
      <c r="P73" t="s">
        <v>80</v>
      </c>
      <c r="Q73" t="s">
        <v>81</v>
      </c>
      <c r="R73" t="s">
        <v>74</v>
      </c>
      <c r="S73" t="s">
        <v>82</v>
      </c>
      <c r="T73" t="s">
        <v>74</v>
      </c>
      <c r="U73" t="s">
        <v>696</v>
      </c>
      <c r="V73" t="s">
        <v>74</v>
      </c>
      <c r="W73" t="s">
        <v>697</v>
      </c>
      <c r="X73" t="s">
        <v>698</v>
      </c>
      <c r="Y73" t="s">
        <v>74</v>
      </c>
      <c r="Z73" t="s">
        <v>699</v>
      </c>
      <c r="AA73" t="s">
        <v>700</v>
      </c>
      <c r="AB73" t="s">
        <v>74</v>
      </c>
      <c r="AC73" t="s">
        <v>74</v>
      </c>
      <c r="AD73" t="s">
        <v>74</v>
      </c>
      <c r="AE73" t="s">
        <v>74</v>
      </c>
      <c r="AF73" t="s">
        <v>74</v>
      </c>
      <c r="AG73">
        <v>4</v>
      </c>
      <c r="AH73">
        <v>1</v>
      </c>
      <c r="AI73">
        <v>1</v>
      </c>
      <c r="AJ73">
        <v>0</v>
      </c>
      <c r="AK73">
        <v>0</v>
      </c>
      <c r="AL73" t="s">
        <v>109</v>
      </c>
      <c r="AM73" t="s">
        <v>110</v>
      </c>
      <c r="AN73" t="s">
        <v>111</v>
      </c>
      <c r="AO73" t="s">
        <v>91</v>
      </c>
      <c r="AP73" t="s">
        <v>74</v>
      </c>
      <c r="AQ73" t="s">
        <v>74</v>
      </c>
      <c r="AR73" t="s">
        <v>93</v>
      </c>
      <c r="AS73" t="s">
        <v>94</v>
      </c>
      <c r="AT73" t="s">
        <v>95</v>
      </c>
      <c r="AU73">
        <v>2008</v>
      </c>
      <c r="AV73">
        <v>43</v>
      </c>
      <c r="AW73">
        <v>7</v>
      </c>
      <c r="AX73" t="s">
        <v>74</v>
      </c>
      <c r="AY73" t="s">
        <v>96</v>
      </c>
      <c r="AZ73" t="s">
        <v>74</v>
      </c>
      <c r="BA73" t="s">
        <v>74</v>
      </c>
      <c r="BB73" t="s">
        <v>691</v>
      </c>
      <c r="BC73" t="s">
        <v>691</v>
      </c>
      <c r="BD73" t="s">
        <v>74</v>
      </c>
      <c r="BE73" t="s">
        <v>74</v>
      </c>
      <c r="BF73" t="s">
        <v>74</v>
      </c>
      <c r="BG73" t="s">
        <v>74</v>
      </c>
      <c r="BH73" t="s">
        <v>74</v>
      </c>
      <c r="BI73">
        <v>1</v>
      </c>
      <c r="BJ73" t="s">
        <v>98</v>
      </c>
      <c r="BK73" t="s">
        <v>113</v>
      </c>
      <c r="BL73" t="s">
        <v>98</v>
      </c>
      <c r="BM73" t="s">
        <v>100</v>
      </c>
      <c r="BN73" t="s">
        <v>74</v>
      </c>
      <c r="BO73" t="s">
        <v>74</v>
      </c>
      <c r="BP73" t="s">
        <v>74</v>
      </c>
      <c r="BQ73" t="s">
        <v>74</v>
      </c>
      <c r="BR73" t="s">
        <v>101</v>
      </c>
      <c r="BS73" t="s">
        <v>701</v>
      </c>
      <c r="BT73" t="str">
        <f>HYPERLINK("https%3A%2F%2Fwww.webofscience.com%2Fwos%2Fwoscc%2Ffull-record%2FWOS:000257683100094","View Full Record in Web of Science")</f>
        <v>View Full Record in Web of Science</v>
      </c>
    </row>
    <row r="74" spans="1:72" x14ac:dyDescent="0.15">
      <c r="A74" t="s">
        <v>72</v>
      </c>
      <c r="B74" t="s">
        <v>702</v>
      </c>
      <c r="C74" t="s">
        <v>74</v>
      </c>
      <c r="D74" t="s">
        <v>74</v>
      </c>
      <c r="E74" t="s">
        <v>74</v>
      </c>
      <c r="F74" t="s">
        <v>703</v>
      </c>
      <c r="G74" t="s">
        <v>74</v>
      </c>
      <c r="H74" t="s">
        <v>74</v>
      </c>
      <c r="I74" t="s">
        <v>704</v>
      </c>
      <c r="J74" t="s">
        <v>77</v>
      </c>
      <c r="K74" t="s">
        <v>74</v>
      </c>
      <c r="L74" t="s">
        <v>74</v>
      </c>
      <c r="M74" t="s">
        <v>78</v>
      </c>
      <c r="N74" t="s">
        <v>52</v>
      </c>
      <c r="O74" t="s">
        <v>79</v>
      </c>
      <c r="P74" t="s">
        <v>80</v>
      </c>
      <c r="Q74" t="s">
        <v>81</v>
      </c>
      <c r="R74" t="s">
        <v>74</v>
      </c>
      <c r="S74" t="s">
        <v>82</v>
      </c>
      <c r="T74" t="s">
        <v>74</v>
      </c>
      <c r="U74" t="s">
        <v>74</v>
      </c>
      <c r="V74" t="s">
        <v>74</v>
      </c>
      <c r="W74" t="s">
        <v>705</v>
      </c>
      <c r="X74" t="s">
        <v>706</v>
      </c>
      <c r="Y74" t="s">
        <v>74</v>
      </c>
      <c r="Z74" t="s">
        <v>707</v>
      </c>
      <c r="AA74" t="s">
        <v>74</v>
      </c>
      <c r="AB74" t="s">
        <v>74</v>
      </c>
      <c r="AC74" t="s">
        <v>74</v>
      </c>
      <c r="AD74" t="s">
        <v>74</v>
      </c>
      <c r="AE74" t="s">
        <v>74</v>
      </c>
      <c r="AF74" t="s">
        <v>74</v>
      </c>
      <c r="AG74">
        <v>5</v>
      </c>
      <c r="AH74">
        <v>1</v>
      </c>
      <c r="AI74">
        <v>1</v>
      </c>
      <c r="AJ74">
        <v>0</v>
      </c>
      <c r="AK74">
        <v>0</v>
      </c>
      <c r="AL74" t="s">
        <v>109</v>
      </c>
      <c r="AM74" t="s">
        <v>110</v>
      </c>
      <c r="AN74" t="s">
        <v>111</v>
      </c>
      <c r="AO74" t="s">
        <v>91</v>
      </c>
      <c r="AP74" t="s">
        <v>74</v>
      </c>
      <c r="AQ74" t="s">
        <v>74</v>
      </c>
      <c r="AR74" t="s">
        <v>93</v>
      </c>
      <c r="AS74" t="s">
        <v>94</v>
      </c>
      <c r="AT74" t="s">
        <v>95</v>
      </c>
      <c r="AU74">
        <v>2008</v>
      </c>
      <c r="AV74">
        <v>43</v>
      </c>
      <c r="AW74">
        <v>7</v>
      </c>
      <c r="AX74" t="s">
        <v>74</v>
      </c>
      <c r="AY74" t="s">
        <v>96</v>
      </c>
      <c r="AZ74" t="s">
        <v>74</v>
      </c>
      <c r="BA74" t="s">
        <v>74</v>
      </c>
      <c r="BB74" t="s">
        <v>708</v>
      </c>
      <c r="BC74" t="s">
        <v>708</v>
      </c>
      <c r="BD74" t="s">
        <v>74</v>
      </c>
      <c r="BE74" t="s">
        <v>74</v>
      </c>
      <c r="BF74" t="s">
        <v>74</v>
      </c>
      <c r="BG74" t="s">
        <v>74</v>
      </c>
      <c r="BH74" t="s">
        <v>74</v>
      </c>
      <c r="BI74">
        <v>1</v>
      </c>
      <c r="BJ74" t="s">
        <v>98</v>
      </c>
      <c r="BK74" t="s">
        <v>113</v>
      </c>
      <c r="BL74" t="s">
        <v>98</v>
      </c>
      <c r="BM74" t="s">
        <v>100</v>
      </c>
      <c r="BN74" t="s">
        <v>74</v>
      </c>
      <c r="BO74" t="s">
        <v>74</v>
      </c>
      <c r="BP74" t="s">
        <v>74</v>
      </c>
      <c r="BQ74" t="s">
        <v>74</v>
      </c>
      <c r="BR74" t="s">
        <v>101</v>
      </c>
      <c r="BS74" t="s">
        <v>709</v>
      </c>
      <c r="BT74" t="str">
        <f>HYPERLINK("https%3A%2F%2Fwww.webofscience.com%2Fwos%2Fwoscc%2Ffull-record%2FWOS:000257683100095","View Full Record in Web of Science")</f>
        <v>View Full Record in Web of Science</v>
      </c>
    </row>
    <row r="75" spans="1:72" x14ac:dyDescent="0.15">
      <c r="A75" t="s">
        <v>72</v>
      </c>
      <c r="B75" t="s">
        <v>710</v>
      </c>
      <c r="C75" t="s">
        <v>74</v>
      </c>
      <c r="D75" t="s">
        <v>74</v>
      </c>
      <c r="E75" t="s">
        <v>74</v>
      </c>
      <c r="F75" t="s">
        <v>711</v>
      </c>
      <c r="G75" t="s">
        <v>74</v>
      </c>
      <c r="H75" t="s">
        <v>74</v>
      </c>
      <c r="I75" t="s">
        <v>712</v>
      </c>
      <c r="J75" t="s">
        <v>77</v>
      </c>
      <c r="K75" t="s">
        <v>74</v>
      </c>
      <c r="L75" t="s">
        <v>74</v>
      </c>
      <c r="M75" t="s">
        <v>78</v>
      </c>
      <c r="N75" t="s">
        <v>52</v>
      </c>
      <c r="O75" t="s">
        <v>79</v>
      </c>
      <c r="P75" t="s">
        <v>80</v>
      </c>
      <c r="Q75" t="s">
        <v>81</v>
      </c>
      <c r="R75" t="s">
        <v>74</v>
      </c>
      <c r="S75" t="s">
        <v>82</v>
      </c>
      <c r="T75" t="s">
        <v>74</v>
      </c>
      <c r="U75" t="s">
        <v>74</v>
      </c>
      <c r="V75" t="s">
        <v>74</v>
      </c>
      <c r="W75" t="s">
        <v>713</v>
      </c>
      <c r="X75" t="s">
        <v>714</v>
      </c>
      <c r="Y75" t="s">
        <v>74</v>
      </c>
      <c r="Z75" t="s">
        <v>715</v>
      </c>
      <c r="AA75" t="s">
        <v>74</v>
      </c>
      <c r="AB75" t="s">
        <v>74</v>
      </c>
      <c r="AC75" t="s">
        <v>74</v>
      </c>
      <c r="AD75" t="s">
        <v>74</v>
      </c>
      <c r="AE75" t="s">
        <v>74</v>
      </c>
      <c r="AF75" t="s">
        <v>74</v>
      </c>
      <c r="AG75">
        <v>4</v>
      </c>
      <c r="AH75">
        <v>0</v>
      </c>
      <c r="AI75">
        <v>0</v>
      </c>
      <c r="AJ75">
        <v>0</v>
      </c>
      <c r="AK75">
        <v>2</v>
      </c>
      <c r="AL75" t="s">
        <v>109</v>
      </c>
      <c r="AM75" t="s">
        <v>110</v>
      </c>
      <c r="AN75" t="s">
        <v>111</v>
      </c>
      <c r="AO75" t="s">
        <v>91</v>
      </c>
      <c r="AP75" t="s">
        <v>74</v>
      </c>
      <c r="AQ75" t="s">
        <v>74</v>
      </c>
      <c r="AR75" t="s">
        <v>93</v>
      </c>
      <c r="AS75" t="s">
        <v>94</v>
      </c>
      <c r="AT75" t="s">
        <v>95</v>
      </c>
      <c r="AU75">
        <v>2008</v>
      </c>
      <c r="AV75">
        <v>43</v>
      </c>
      <c r="AW75">
        <v>7</v>
      </c>
      <c r="AX75" t="s">
        <v>74</v>
      </c>
      <c r="AY75" t="s">
        <v>96</v>
      </c>
      <c r="AZ75" t="s">
        <v>74</v>
      </c>
      <c r="BA75" t="s">
        <v>74</v>
      </c>
      <c r="BB75" t="s">
        <v>708</v>
      </c>
      <c r="BC75" t="s">
        <v>708</v>
      </c>
      <c r="BD75" t="s">
        <v>74</v>
      </c>
      <c r="BE75" t="s">
        <v>74</v>
      </c>
      <c r="BF75" t="s">
        <v>74</v>
      </c>
      <c r="BG75" t="s">
        <v>74</v>
      </c>
      <c r="BH75" t="s">
        <v>74</v>
      </c>
      <c r="BI75">
        <v>1</v>
      </c>
      <c r="BJ75" t="s">
        <v>98</v>
      </c>
      <c r="BK75" t="s">
        <v>113</v>
      </c>
      <c r="BL75" t="s">
        <v>98</v>
      </c>
      <c r="BM75" t="s">
        <v>100</v>
      </c>
      <c r="BN75" t="s">
        <v>74</v>
      </c>
      <c r="BO75" t="s">
        <v>74</v>
      </c>
      <c r="BP75" t="s">
        <v>74</v>
      </c>
      <c r="BQ75" t="s">
        <v>74</v>
      </c>
      <c r="BR75" t="s">
        <v>101</v>
      </c>
      <c r="BS75" t="s">
        <v>716</v>
      </c>
      <c r="BT75" t="str">
        <f>HYPERLINK("https%3A%2F%2Fwww.webofscience.com%2Fwos%2Fwoscc%2Ffull-record%2FWOS:000257683100096","View Full Record in Web of Science")</f>
        <v>View Full Record in Web of Science</v>
      </c>
    </row>
    <row r="76" spans="1:72" x14ac:dyDescent="0.15">
      <c r="A76" t="s">
        <v>72</v>
      </c>
      <c r="B76" t="s">
        <v>717</v>
      </c>
      <c r="C76" t="s">
        <v>74</v>
      </c>
      <c r="D76" t="s">
        <v>74</v>
      </c>
      <c r="E76" t="s">
        <v>74</v>
      </c>
      <c r="F76" t="s">
        <v>718</v>
      </c>
      <c r="G76" t="s">
        <v>74</v>
      </c>
      <c r="H76" t="s">
        <v>74</v>
      </c>
      <c r="I76" t="s">
        <v>719</v>
      </c>
      <c r="J76" t="s">
        <v>77</v>
      </c>
      <c r="K76" t="s">
        <v>74</v>
      </c>
      <c r="L76" t="s">
        <v>74</v>
      </c>
      <c r="M76" t="s">
        <v>78</v>
      </c>
      <c r="N76" t="s">
        <v>52</v>
      </c>
      <c r="O76" t="s">
        <v>79</v>
      </c>
      <c r="P76" t="s">
        <v>80</v>
      </c>
      <c r="Q76" t="s">
        <v>81</v>
      </c>
      <c r="R76" t="s">
        <v>74</v>
      </c>
      <c r="S76" t="s">
        <v>82</v>
      </c>
      <c r="T76" t="s">
        <v>74</v>
      </c>
      <c r="U76" t="s">
        <v>720</v>
      </c>
      <c r="V76" t="s">
        <v>74</v>
      </c>
      <c r="W76" t="s">
        <v>721</v>
      </c>
      <c r="X76" t="s">
        <v>722</v>
      </c>
      <c r="Y76" t="s">
        <v>74</v>
      </c>
      <c r="Z76" t="s">
        <v>723</v>
      </c>
      <c r="AA76" t="s">
        <v>724</v>
      </c>
      <c r="AB76" t="s">
        <v>725</v>
      </c>
      <c r="AC76" t="s">
        <v>74</v>
      </c>
      <c r="AD76" t="s">
        <v>74</v>
      </c>
      <c r="AE76" t="s">
        <v>74</v>
      </c>
      <c r="AF76" t="s">
        <v>74</v>
      </c>
      <c r="AG76">
        <v>7</v>
      </c>
      <c r="AH76">
        <v>0</v>
      </c>
      <c r="AI76">
        <v>0</v>
      </c>
      <c r="AJ76">
        <v>0</v>
      </c>
      <c r="AK76">
        <v>1</v>
      </c>
      <c r="AL76" t="s">
        <v>109</v>
      </c>
      <c r="AM76" t="s">
        <v>110</v>
      </c>
      <c r="AN76" t="s">
        <v>111</v>
      </c>
      <c r="AO76" t="s">
        <v>91</v>
      </c>
      <c r="AP76" t="s">
        <v>74</v>
      </c>
      <c r="AQ76" t="s">
        <v>74</v>
      </c>
      <c r="AR76" t="s">
        <v>93</v>
      </c>
      <c r="AS76" t="s">
        <v>94</v>
      </c>
      <c r="AT76" t="s">
        <v>95</v>
      </c>
      <c r="AU76">
        <v>2008</v>
      </c>
      <c r="AV76">
        <v>43</v>
      </c>
      <c r="AW76">
        <v>7</v>
      </c>
      <c r="AX76" t="s">
        <v>74</v>
      </c>
      <c r="AY76" t="s">
        <v>96</v>
      </c>
      <c r="AZ76" t="s">
        <v>74</v>
      </c>
      <c r="BA76" t="s">
        <v>74</v>
      </c>
      <c r="BB76" t="s">
        <v>726</v>
      </c>
      <c r="BC76" t="s">
        <v>726</v>
      </c>
      <c r="BD76" t="s">
        <v>74</v>
      </c>
      <c r="BE76" t="s">
        <v>74</v>
      </c>
      <c r="BF76" t="s">
        <v>74</v>
      </c>
      <c r="BG76" t="s">
        <v>74</v>
      </c>
      <c r="BH76" t="s">
        <v>74</v>
      </c>
      <c r="BI76">
        <v>1</v>
      </c>
      <c r="BJ76" t="s">
        <v>98</v>
      </c>
      <c r="BK76" t="s">
        <v>113</v>
      </c>
      <c r="BL76" t="s">
        <v>98</v>
      </c>
      <c r="BM76" t="s">
        <v>100</v>
      </c>
      <c r="BN76" t="s">
        <v>74</v>
      </c>
      <c r="BO76" t="s">
        <v>74</v>
      </c>
      <c r="BP76" t="s">
        <v>74</v>
      </c>
      <c r="BQ76" t="s">
        <v>74</v>
      </c>
      <c r="BR76" t="s">
        <v>101</v>
      </c>
      <c r="BS76" t="s">
        <v>727</v>
      </c>
      <c r="BT76" t="str">
        <f>HYPERLINK("https%3A%2F%2Fwww.webofscience.com%2Fwos%2Fwoscc%2Ffull-record%2FWOS:000257683100097","View Full Record in Web of Science")</f>
        <v>View Full Record in Web of Science</v>
      </c>
    </row>
    <row r="77" spans="1:72" x14ac:dyDescent="0.15">
      <c r="A77" t="s">
        <v>72</v>
      </c>
      <c r="B77" t="s">
        <v>728</v>
      </c>
      <c r="C77" t="s">
        <v>74</v>
      </c>
      <c r="D77" t="s">
        <v>74</v>
      </c>
      <c r="E77" t="s">
        <v>74</v>
      </c>
      <c r="F77" t="s">
        <v>729</v>
      </c>
      <c r="G77" t="s">
        <v>74</v>
      </c>
      <c r="H77" t="s">
        <v>74</v>
      </c>
      <c r="I77" t="s">
        <v>730</v>
      </c>
      <c r="J77" t="s">
        <v>77</v>
      </c>
      <c r="K77" t="s">
        <v>74</v>
      </c>
      <c r="L77" t="s">
        <v>74</v>
      </c>
      <c r="M77" t="s">
        <v>78</v>
      </c>
      <c r="N77" t="s">
        <v>52</v>
      </c>
      <c r="O77" t="s">
        <v>79</v>
      </c>
      <c r="P77" t="s">
        <v>80</v>
      </c>
      <c r="Q77" t="s">
        <v>81</v>
      </c>
      <c r="R77" t="s">
        <v>74</v>
      </c>
      <c r="S77" t="s">
        <v>82</v>
      </c>
      <c r="T77" t="s">
        <v>74</v>
      </c>
      <c r="U77" t="s">
        <v>731</v>
      </c>
      <c r="V77" t="s">
        <v>74</v>
      </c>
      <c r="W77" t="s">
        <v>732</v>
      </c>
      <c r="X77" t="s">
        <v>733</v>
      </c>
      <c r="Y77" t="s">
        <v>74</v>
      </c>
      <c r="Z77" t="s">
        <v>734</v>
      </c>
      <c r="AA77" t="s">
        <v>735</v>
      </c>
      <c r="AB77" t="s">
        <v>74</v>
      </c>
      <c r="AC77" t="s">
        <v>736</v>
      </c>
      <c r="AD77" t="s">
        <v>333</v>
      </c>
      <c r="AE77" t="s">
        <v>74</v>
      </c>
      <c r="AF77" t="s">
        <v>74</v>
      </c>
      <c r="AG77">
        <v>7</v>
      </c>
      <c r="AH77">
        <v>1</v>
      </c>
      <c r="AI77">
        <v>1</v>
      </c>
      <c r="AJ77">
        <v>0</v>
      </c>
      <c r="AK77">
        <v>9</v>
      </c>
      <c r="AL77" t="s">
        <v>109</v>
      </c>
      <c r="AM77" t="s">
        <v>110</v>
      </c>
      <c r="AN77" t="s">
        <v>111</v>
      </c>
      <c r="AO77" t="s">
        <v>91</v>
      </c>
      <c r="AP77" t="s">
        <v>74</v>
      </c>
      <c r="AQ77" t="s">
        <v>74</v>
      </c>
      <c r="AR77" t="s">
        <v>93</v>
      </c>
      <c r="AS77" t="s">
        <v>94</v>
      </c>
      <c r="AT77" t="s">
        <v>95</v>
      </c>
      <c r="AU77">
        <v>2008</v>
      </c>
      <c r="AV77">
        <v>43</v>
      </c>
      <c r="AW77">
        <v>7</v>
      </c>
      <c r="AX77" t="s">
        <v>74</v>
      </c>
      <c r="AY77" t="s">
        <v>96</v>
      </c>
      <c r="AZ77" t="s">
        <v>74</v>
      </c>
      <c r="BA77" t="s">
        <v>74</v>
      </c>
      <c r="BB77" t="s">
        <v>726</v>
      </c>
      <c r="BC77" t="s">
        <v>726</v>
      </c>
      <c r="BD77" t="s">
        <v>74</v>
      </c>
      <c r="BE77" t="s">
        <v>74</v>
      </c>
      <c r="BF77" t="s">
        <v>74</v>
      </c>
      <c r="BG77" t="s">
        <v>74</v>
      </c>
      <c r="BH77" t="s">
        <v>74</v>
      </c>
      <c r="BI77">
        <v>1</v>
      </c>
      <c r="BJ77" t="s">
        <v>98</v>
      </c>
      <c r="BK77" t="s">
        <v>113</v>
      </c>
      <c r="BL77" t="s">
        <v>98</v>
      </c>
      <c r="BM77" t="s">
        <v>100</v>
      </c>
      <c r="BN77" t="s">
        <v>74</v>
      </c>
      <c r="BO77" t="s">
        <v>74</v>
      </c>
      <c r="BP77" t="s">
        <v>74</v>
      </c>
      <c r="BQ77" t="s">
        <v>74</v>
      </c>
      <c r="BR77" t="s">
        <v>101</v>
      </c>
      <c r="BS77" t="s">
        <v>737</v>
      </c>
      <c r="BT77" t="str">
        <f>HYPERLINK("https%3A%2F%2Fwww.webofscience.com%2Fwos%2Fwoscc%2Ffull-record%2FWOS:000257683100098","View Full Record in Web of Science")</f>
        <v>View Full Record in Web of Science</v>
      </c>
    </row>
    <row r="78" spans="1:72" x14ac:dyDescent="0.15">
      <c r="A78" t="s">
        <v>72</v>
      </c>
      <c r="B78" t="s">
        <v>738</v>
      </c>
      <c r="C78" t="s">
        <v>74</v>
      </c>
      <c r="D78" t="s">
        <v>74</v>
      </c>
      <c r="E78" t="s">
        <v>74</v>
      </c>
      <c r="F78" t="s">
        <v>739</v>
      </c>
      <c r="G78" t="s">
        <v>74</v>
      </c>
      <c r="H78" t="s">
        <v>74</v>
      </c>
      <c r="I78" t="s">
        <v>740</v>
      </c>
      <c r="J78" t="s">
        <v>77</v>
      </c>
      <c r="K78" t="s">
        <v>74</v>
      </c>
      <c r="L78" t="s">
        <v>74</v>
      </c>
      <c r="M78" t="s">
        <v>78</v>
      </c>
      <c r="N78" t="s">
        <v>52</v>
      </c>
      <c r="O78" t="s">
        <v>79</v>
      </c>
      <c r="P78" t="s">
        <v>80</v>
      </c>
      <c r="Q78" t="s">
        <v>81</v>
      </c>
      <c r="R78" t="s">
        <v>74</v>
      </c>
      <c r="S78" t="s">
        <v>82</v>
      </c>
      <c r="T78" t="s">
        <v>74</v>
      </c>
      <c r="U78" t="s">
        <v>74</v>
      </c>
      <c r="V78" t="s">
        <v>74</v>
      </c>
      <c r="W78" t="s">
        <v>741</v>
      </c>
      <c r="X78" t="s">
        <v>742</v>
      </c>
      <c r="Y78" t="s">
        <v>74</v>
      </c>
      <c r="Z78" t="s">
        <v>74</v>
      </c>
      <c r="AA78" t="s">
        <v>743</v>
      </c>
      <c r="AB78" t="s">
        <v>74</v>
      </c>
      <c r="AC78" t="s">
        <v>74</v>
      </c>
      <c r="AD78" t="s">
        <v>74</v>
      </c>
      <c r="AE78" t="s">
        <v>74</v>
      </c>
      <c r="AF78" t="s">
        <v>74</v>
      </c>
      <c r="AG78">
        <v>2</v>
      </c>
      <c r="AH78">
        <v>0</v>
      </c>
      <c r="AI78">
        <v>0</v>
      </c>
      <c r="AJ78">
        <v>0</v>
      </c>
      <c r="AK78">
        <v>0</v>
      </c>
      <c r="AL78" t="s">
        <v>88</v>
      </c>
      <c r="AM78" t="s">
        <v>89</v>
      </c>
      <c r="AN78" t="s">
        <v>90</v>
      </c>
      <c r="AO78" t="s">
        <v>91</v>
      </c>
      <c r="AP78" t="s">
        <v>92</v>
      </c>
      <c r="AQ78" t="s">
        <v>74</v>
      </c>
      <c r="AR78" t="s">
        <v>93</v>
      </c>
      <c r="AS78" t="s">
        <v>94</v>
      </c>
      <c r="AT78" t="s">
        <v>95</v>
      </c>
      <c r="AU78">
        <v>2008</v>
      </c>
      <c r="AV78">
        <v>43</v>
      </c>
      <c r="AW78">
        <v>7</v>
      </c>
      <c r="AX78" t="s">
        <v>74</v>
      </c>
      <c r="AY78" t="s">
        <v>96</v>
      </c>
      <c r="AZ78" t="s">
        <v>74</v>
      </c>
      <c r="BA78" t="s">
        <v>74</v>
      </c>
      <c r="BB78" t="s">
        <v>744</v>
      </c>
      <c r="BC78" t="s">
        <v>744</v>
      </c>
      <c r="BD78" t="s">
        <v>74</v>
      </c>
      <c r="BE78" t="s">
        <v>74</v>
      </c>
      <c r="BF78" t="s">
        <v>74</v>
      </c>
      <c r="BG78" t="s">
        <v>74</v>
      </c>
      <c r="BH78" t="s">
        <v>74</v>
      </c>
      <c r="BI78">
        <v>1</v>
      </c>
      <c r="BJ78" t="s">
        <v>98</v>
      </c>
      <c r="BK78" t="s">
        <v>99</v>
      </c>
      <c r="BL78" t="s">
        <v>98</v>
      </c>
      <c r="BM78" t="s">
        <v>100</v>
      </c>
      <c r="BN78" t="s">
        <v>74</v>
      </c>
      <c r="BO78" t="s">
        <v>74</v>
      </c>
      <c r="BP78" t="s">
        <v>74</v>
      </c>
      <c r="BQ78" t="s">
        <v>74</v>
      </c>
      <c r="BR78" t="s">
        <v>101</v>
      </c>
      <c r="BS78" t="s">
        <v>745</v>
      </c>
      <c r="BT78" t="str">
        <f>HYPERLINK("https%3A%2F%2Fwww.webofscience.com%2Fwos%2Fwoscc%2Ffull-record%2FWOS:000257683100099","View Full Record in Web of Science")</f>
        <v>View Full Record in Web of Science</v>
      </c>
    </row>
    <row r="79" spans="1:72" x14ac:dyDescent="0.15">
      <c r="A79" t="s">
        <v>72</v>
      </c>
      <c r="B79" t="s">
        <v>746</v>
      </c>
      <c r="C79" t="s">
        <v>74</v>
      </c>
      <c r="D79" t="s">
        <v>74</v>
      </c>
      <c r="E79" t="s">
        <v>74</v>
      </c>
      <c r="F79" t="s">
        <v>747</v>
      </c>
      <c r="G79" t="s">
        <v>74</v>
      </c>
      <c r="H79" t="s">
        <v>74</v>
      </c>
      <c r="I79" t="s">
        <v>748</v>
      </c>
      <c r="J79" t="s">
        <v>77</v>
      </c>
      <c r="K79" t="s">
        <v>74</v>
      </c>
      <c r="L79" t="s">
        <v>74</v>
      </c>
      <c r="M79" t="s">
        <v>78</v>
      </c>
      <c r="N79" t="s">
        <v>52</v>
      </c>
      <c r="O79" t="s">
        <v>79</v>
      </c>
      <c r="P79" t="s">
        <v>80</v>
      </c>
      <c r="Q79" t="s">
        <v>81</v>
      </c>
      <c r="R79" t="s">
        <v>74</v>
      </c>
      <c r="S79" t="s">
        <v>82</v>
      </c>
      <c r="T79" t="s">
        <v>74</v>
      </c>
      <c r="U79" t="s">
        <v>74</v>
      </c>
      <c r="V79" t="s">
        <v>74</v>
      </c>
      <c r="W79" t="s">
        <v>749</v>
      </c>
      <c r="X79" t="s">
        <v>750</v>
      </c>
      <c r="Y79" t="s">
        <v>74</v>
      </c>
      <c r="Z79" t="s">
        <v>611</v>
      </c>
      <c r="AA79" t="s">
        <v>751</v>
      </c>
      <c r="AB79" t="s">
        <v>752</v>
      </c>
      <c r="AC79" t="s">
        <v>74</v>
      </c>
      <c r="AD79" t="s">
        <v>74</v>
      </c>
      <c r="AE79" t="s">
        <v>74</v>
      </c>
      <c r="AF79" t="s">
        <v>74</v>
      </c>
      <c r="AG79">
        <v>0</v>
      </c>
      <c r="AH79">
        <v>0</v>
      </c>
      <c r="AI79">
        <v>0</v>
      </c>
      <c r="AJ79">
        <v>0</v>
      </c>
      <c r="AK79">
        <v>2</v>
      </c>
      <c r="AL79" t="s">
        <v>109</v>
      </c>
      <c r="AM79" t="s">
        <v>110</v>
      </c>
      <c r="AN79" t="s">
        <v>111</v>
      </c>
      <c r="AO79" t="s">
        <v>91</v>
      </c>
      <c r="AP79" t="s">
        <v>74</v>
      </c>
      <c r="AQ79" t="s">
        <v>74</v>
      </c>
      <c r="AR79" t="s">
        <v>93</v>
      </c>
      <c r="AS79" t="s">
        <v>94</v>
      </c>
      <c r="AT79" t="s">
        <v>95</v>
      </c>
      <c r="AU79">
        <v>2008</v>
      </c>
      <c r="AV79">
        <v>43</v>
      </c>
      <c r="AW79">
        <v>7</v>
      </c>
      <c r="AX79" t="s">
        <v>74</v>
      </c>
      <c r="AY79" t="s">
        <v>74</v>
      </c>
      <c r="AZ79" t="s">
        <v>74</v>
      </c>
      <c r="BA79" t="s">
        <v>74</v>
      </c>
      <c r="BB79" t="s">
        <v>744</v>
      </c>
      <c r="BC79" t="s">
        <v>744</v>
      </c>
      <c r="BD79" t="s">
        <v>74</v>
      </c>
      <c r="BE79" t="s">
        <v>74</v>
      </c>
      <c r="BF79" t="s">
        <v>74</v>
      </c>
      <c r="BG79" t="s">
        <v>74</v>
      </c>
      <c r="BH79" t="s">
        <v>74</v>
      </c>
      <c r="BI79">
        <v>1</v>
      </c>
      <c r="BJ79" t="s">
        <v>98</v>
      </c>
      <c r="BK79" t="s">
        <v>419</v>
      </c>
      <c r="BL79" t="s">
        <v>98</v>
      </c>
      <c r="BM79" t="s">
        <v>100</v>
      </c>
      <c r="BN79" t="s">
        <v>74</v>
      </c>
      <c r="BO79" t="s">
        <v>74</v>
      </c>
      <c r="BP79" t="s">
        <v>74</v>
      </c>
      <c r="BQ79" t="s">
        <v>74</v>
      </c>
      <c r="BR79" t="s">
        <v>101</v>
      </c>
      <c r="BS79" t="s">
        <v>753</v>
      </c>
      <c r="BT79" t="str">
        <f>HYPERLINK("https%3A%2F%2Fwww.webofscience.com%2Fwos%2Fwoscc%2Ffull-record%2FWOS:000257683100100","View Full Record in Web of Science")</f>
        <v>View Full Record in Web of Science</v>
      </c>
    </row>
    <row r="80" spans="1:72" x14ac:dyDescent="0.15">
      <c r="A80" t="s">
        <v>72</v>
      </c>
      <c r="B80" t="s">
        <v>754</v>
      </c>
      <c r="C80" t="s">
        <v>74</v>
      </c>
      <c r="D80" t="s">
        <v>74</v>
      </c>
      <c r="E80" t="s">
        <v>74</v>
      </c>
      <c r="F80" t="s">
        <v>755</v>
      </c>
      <c r="G80" t="s">
        <v>74</v>
      </c>
      <c r="H80" t="s">
        <v>74</v>
      </c>
      <c r="I80" t="s">
        <v>756</v>
      </c>
      <c r="J80" t="s">
        <v>77</v>
      </c>
      <c r="K80" t="s">
        <v>74</v>
      </c>
      <c r="L80" t="s">
        <v>74</v>
      </c>
      <c r="M80" t="s">
        <v>78</v>
      </c>
      <c r="N80" t="s">
        <v>52</v>
      </c>
      <c r="O80" t="s">
        <v>79</v>
      </c>
      <c r="P80" t="s">
        <v>80</v>
      </c>
      <c r="Q80" t="s">
        <v>81</v>
      </c>
      <c r="R80" t="s">
        <v>74</v>
      </c>
      <c r="S80" t="s">
        <v>82</v>
      </c>
      <c r="T80" t="s">
        <v>74</v>
      </c>
      <c r="U80" t="s">
        <v>757</v>
      </c>
      <c r="V80" t="s">
        <v>74</v>
      </c>
      <c r="W80" t="s">
        <v>758</v>
      </c>
      <c r="X80" t="s">
        <v>759</v>
      </c>
      <c r="Y80" t="s">
        <v>74</v>
      </c>
      <c r="Z80" t="s">
        <v>760</v>
      </c>
      <c r="AA80" t="s">
        <v>761</v>
      </c>
      <c r="AB80" t="s">
        <v>762</v>
      </c>
      <c r="AC80" t="s">
        <v>74</v>
      </c>
      <c r="AD80" t="s">
        <v>74</v>
      </c>
      <c r="AE80" t="s">
        <v>74</v>
      </c>
      <c r="AF80" t="s">
        <v>74</v>
      </c>
      <c r="AG80">
        <v>9</v>
      </c>
      <c r="AH80">
        <v>0</v>
      </c>
      <c r="AI80">
        <v>0</v>
      </c>
      <c r="AJ80">
        <v>0</v>
      </c>
      <c r="AK80">
        <v>1</v>
      </c>
      <c r="AL80" t="s">
        <v>109</v>
      </c>
      <c r="AM80" t="s">
        <v>110</v>
      </c>
      <c r="AN80" t="s">
        <v>111</v>
      </c>
      <c r="AO80" t="s">
        <v>91</v>
      </c>
      <c r="AP80" t="s">
        <v>74</v>
      </c>
      <c r="AQ80" t="s">
        <v>74</v>
      </c>
      <c r="AR80" t="s">
        <v>93</v>
      </c>
      <c r="AS80" t="s">
        <v>94</v>
      </c>
      <c r="AT80" t="s">
        <v>95</v>
      </c>
      <c r="AU80">
        <v>2008</v>
      </c>
      <c r="AV80">
        <v>43</v>
      </c>
      <c r="AW80">
        <v>7</v>
      </c>
      <c r="AX80" t="s">
        <v>74</v>
      </c>
      <c r="AY80" t="s">
        <v>96</v>
      </c>
      <c r="AZ80" t="s">
        <v>74</v>
      </c>
      <c r="BA80" t="s">
        <v>74</v>
      </c>
      <c r="BB80" t="s">
        <v>763</v>
      </c>
      <c r="BC80" t="s">
        <v>763</v>
      </c>
      <c r="BD80" t="s">
        <v>74</v>
      </c>
      <c r="BE80" t="s">
        <v>74</v>
      </c>
      <c r="BF80" t="s">
        <v>74</v>
      </c>
      <c r="BG80" t="s">
        <v>74</v>
      </c>
      <c r="BH80" t="s">
        <v>74</v>
      </c>
      <c r="BI80">
        <v>1</v>
      </c>
      <c r="BJ80" t="s">
        <v>98</v>
      </c>
      <c r="BK80" t="s">
        <v>113</v>
      </c>
      <c r="BL80" t="s">
        <v>98</v>
      </c>
      <c r="BM80" t="s">
        <v>100</v>
      </c>
      <c r="BN80" t="s">
        <v>74</v>
      </c>
      <c r="BO80" t="s">
        <v>74</v>
      </c>
      <c r="BP80" t="s">
        <v>74</v>
      </c>
      <c r="BQ80" t="s">
        <v>74</v>
      </c>
      <c r="BR80" t="s">
        <v>101</v>
      </c>
      <c r="BS80" t="s">
        <v>764</v>
      </c>
      <c r="BT80" t="str">
        <f>HYPERLINK("https%3A%2F%2Fwww.webofscience.com%2Fwos%2Fwoscc%2Ffull-record%2FWOS:000257683100101","View Full Record in Web of Science")</f>
        <v>View Full Record in Web of Science</v>
      </c>
    </row>
    <row r="81" spans="1:72" x14ac:dyDescent="0.15">
      <c r="A81" t="s">
        <v>72</v>
      </c>
      <c r="B81" t="s">
        <v>765</v>
      </c>
      <c r="C81" t="s">
        <v>74</v>
      </c>
      <c r="D81" t="s">
        <v>74</v>
      </c>
      <c r="E81" t="s">
        <v>74</v>
      </c>
      <c r="F81" t="s">
        <v>766</v>
      </c>
      <c r="G81" t="s">
        <v>74</v>
      </c>
      <c r="H81" t="s">
        <v>74</v>
      </c>
      <c r="I81" t="s">
        <v>767</v>
      </c>
      <c r="J81" t="s">
        <v>77</v>
      </c>
      <c r="K81" t="s">
        <v>74</v>
      </c>
      <c r="L81" t="s">
        <v>74</v>
      </c>
      <c r="M81" t="s">
        <v>78</v>
      </c>
      <c r="N81" t="s">
        <v>52</v>
      </c>
      <c r="O81" t="s">
        <v>79</v>
      </c>
      <c r="P81" t="s">
        <v>80</v>
      </c>
      <c r="Q81" t="s">
        <v>81</v>
      </c>
      <c r="R81" t="s">
        <v>74</v>
      </c>
      <c r="S81" t="s">
        <v>82</v>
      </c>
      <c r="T81" t="s">
        <v>74</v>
      </c>
      <c r="U81" t="s">
        <v>74</v>
      </c>
      <c r="V81" t="s">
        <v>74</v>
      </c>
      <c r="W81" t="s">
        <v>768</v>
      </c>
      <c r="X81" t="s">
        <v>769</v>
      </c>
      <c r="Y81" t="s">
        <v>74</v>
      </c>
      <c r="Z81" t="s">
        <v>770</v>
      </c>
      <c r="AA81" t="s">
        <v>74</v>
      </c>
      <c r="AB81" t="s">
        <v>74</v>
      </c>
      <c r="AC81" t="s">
        <v>74</v>
      </c>
      <c r="AD81" t="s">
        <v>74</v>
      </c>
      <c r="AE81" t="s">
        <v>74</v>
      </c>
      <c r="AF81" t="s">
        <v>74</v>
      </c>
      <c r="AG81">
        <v>3</v>
      </c>
      <c r="AH81">
        <v>0</v>
      </c>
      <c r="AI81">
        <v>0</v>
      </c>
      <c r="AJ81">
        <v>0</v>
      </c>
      <c r="AK81">
        <v>1</v>
      </c>
      <c r="AL81" t="s">
        <v>88</v>
      </c>
      <c r="AM81" t="s">
        <v>89</v>
      </c>
      <c r="AN81" t="s">
        <v>90</v>
      </c>
      <c r="AO81" t="s">
        <v>91</v>
      </c>
      <c r="AP81" t="s">
        <v>92</v>
      </c>
      <c r="AQ81" t="s">
        <v>74</v>
      </c>
      <c r="AR81" t="s">
        <v>93</v>
      </c>
      <c r="AS81" t="s">
        <v>94</v>
      </c>
      <c r="AT81" t="s">
        <v>95</v>
      </c>
      <c r="AU81">
        <v>2008</v>
      </c>
      <c r="AV81">
        <v>43</v>
      </c>
      <c r="AW81">
        <v>7</v>
      </c>
      <c r="AX81" t="s">
        <v>74</v>
      </c>
      <c r="AY81" t="s">
        <v>96</v>
      </c>
      <c r="AZ81" t="s">
        <v>74</v>
      </c>
      <c r="BA81" t="s">
        <v>74</v>
      </c>
      <c r="BB81" t="s">
        <v>763</v>
      </c>
      <c r="BC81" t="s">
        <v>763</v>
      </c>
      <c r="BD81" t="s">
        <v>74</v>
      </c>
      <c r="BE81" t="s">
        <v>74</v>
      </c>
      <c r="BF81" t="s">
        <v>74</v>
      </c>
      <c r="BG81" t="s">
        <v>74</v>
      </c>
      <c r="BH81" t="s">
        <v>74</v>
      </c>
      <c r="BI81">
        <v>1</v>
      </c>
      <c r="BJ81" t="s">
        <v>98</v>
      </c>
      <c r="BK81" t="s">
        <v>99</v>
      </c>
      <c r="BL81" t="s">
        <v>98</v>
      </c>
      <c r="BM81" t="s">
        <v>100</v>
      </c>
      <c r="BN81" t="s">
        <v>74</v>
      </c>
      <c r="BO81" t="s">
        <v>74</v>
      </c>
      <c r="BP81" t="s">
        <v>74</v>
      </c>
      <c r="BQ81" t="s">
        <v>74</v>
      </c>
      <c r="BR81" t="s">
        <v>101</v>
      </c>
      <c r="BS81" t="s">
        <v>771</v>
      </c>
      <c r="BT81" t="str">
        <f>HYPERLINK("https%3A%2F%2Fwww.webofscience.com%2Fwos%2Fwoscc%2Ffull-record%2FWOS:000257683100102","View Full Record in Web of Science")</f>
        <v>View Full Record in Web of Science</v>
      </c>
    </row>
    <row r="82" spans="1:72" x14ac:dyDescent="0.15">
      <c r="A82" t="s">
        <v>72</v>
      </c>
      <c r="B82" t="s">
        <v>772</v>
      </c>
      <c r="C82" t="s">
        <v>74</v>
      </c>
      <c r="D82" t="s">
        <v>74</v>
      </c>
      <c r="E82" t="s">
        <v>74</v>
      </c>
      <c r="F82" t="s">
        <v>773</v>
      </c>
      <c r="G82" t="s">
        <v>74</v>
      </c>
      <c r="H82" t="s">
        <v>74</v>
      </c>
      <c r="I82" t="s">
        <v>774</v>
      </c>
      <c r="J82" t="s">
        <v>77</v>
      </c>
      <c r="K82" t="s">
        <v>74</v>
      </c>
      <c r="L82" t="s">
        <v>74</v>
      </c>
      <c r="M82" t="s">
        <v>78</v>
      </c>
      <c r="N82" t="s">
        <v>52</v>
      </c>
      <c r="O82" t="s">
        <v>79</v>
      </c>
      <c r="P82" t="s">
        <v>80</v>
      </c>
      <c r="Q82" t="s">
        <v>81</v>
      </c>
      <c r="R82" t="s">
        <v>74</v>
      </c>
      <c r="S82" t="s">
        <v>82</v>
      </c>
      <c r="T82" t="s">
        <v>74</v>
      </c>
      <c r="U82" t="s">
        <v>775</v>
      </c>
      <c r="V82" t="s">
        <v>74</v>
      </c>
      <c r="W82" t="s">
        <v>776</v>
      </c>
      <c r="X82" t="s">
        <v>777</v>
      </c>
      <c r="Y82" t="s">
        <v>74</v>
      </c>
      <c r="Z82" t="s">
        <v>778</v>
      </c>
      <c r="AA82" t="s">
        <v>74</v>
      </c>
      <c r="AB82" t="s">
        <v>74</v>
      </c>
      <c r="AC82" t="s">
        <v>74</v>
      </c>
      <c r="AD82" t="s">
        <v>74</v>
      </c>
      <c r="AE82" t="s">
        <v>74</v>
      </c>
      <c r="AF82" t="s">
        <v>74</v>
      </c>
      <c r="AG82">
        <v>5</v>
      </c>
      <c r="AH82">
        <v>0</v>
      </c>
      <c r="AI82">
        <v>0</v>
      </c>
      <c r="AJ82">
        <v>0</v>
      </c>
      <c r="AK82">
        <v>2</v>
      </c>
      <c r="AL82" t="s">
        <v>149</v>
      </c>
      <c r="AM82" t="s">
        <v>89</v>
      </c>
      <c r="AN82" t="s">
        <v>90</v>
      </c>
      <c r="AO82" t="s">
        <v>91</v>
      </c>
      <c r="AP82" t="s">
        <v>74</v>
      </c>
      <c r="AQ82" t="s">
        <v>74</v>
      </c>
      <c r="AR82" t="s">
        <v>93</v>
      </c>
      <c r="AS82" t="s">
        <v>94</v>
      </c>
      <c r="AT82" t="s">
        <v>95</v>
      </c>
      <c r="AU82">
        <v>2008</v>
      </c>
      <c r="AV82">
        <v>43</v>
      </c>
      <c r="AW82">
        <v>7</v>
      </c>
      <c r="AX82" t="s">
        <v>74</v>
      </c>
      <c r="AY82" t="s">
        <v>96</v>
      </c>
      <c r="AZ82" t="s">
        <v>74</v>
      </c>
      <c r="BA82" t="s">
        <v>74</v>
      </c>
      <c r="BB82" t="s">
        <v>779</v>
      </c>
      <c r="BC82" t="s">
        <v>779</v>
      </c>
      <c r="BD82" t="s">
        <v>74</v>
      </c>
      <c r="BE82" t="s">
        <v>74</v>
      </c>
      <c r="BF82" t="s">
        <v>74</v>
      </c>
      <c r="BG82" t="s">
        <v>74</v>
      </c>
      <c r="BH82" t="s">
        <v>74</v>
      </c>
      <c r="BI82">
        <v>1</v>
      </c>
      <c r="BJ82" t="s">
        <v>98</v>
      </c>
      <c r="BK82" t="s">
        <v>99</v>
      </c>
      <c r="BL82" t="s">
        <v>98</v>
      </c>
      <c r="BM82" t="s">
        <v>100</v>
      </c>
      <c r="BN82" t="s">
        <v>74</v>
      </c>
      <c r="BO82" t="s">
        <v>74</v>
      </c>
      <c r="BP82" t="s">
        <v>74</v>
      </c>
      <c r="BQ82" t="s">
        <v>74</v>
      </c>
      <c r="BR82" t="s">
        <v>101</v>
      </c>
      <c r="BS82" t="s">
        <v>780</v>
      </c>
      <c r="BT82" t="str">
        <f>HYPERLINK("https%3A%2F%2Fwww.webofscience.com%2Fwos%2Fwoscc%2Ffull-record%2FWOS:000257683100103","View Full Record in Web of Science")</f>
        <v>View Full Record in Web of Science</v>
      </c>
    </row>
    <row r="83" spans="1:72" x14ac:dyDescent="0.15">
      <c r="A83" t="s">
        <v>72</v>
      </c>
      <c r="B83" t="s">
        <v>781</v>
      </c>
      <c r="C83" t="s">
        <v>74</v>
      </c>
      <c r="D83" t="s">
        <v>74</v>
      </c>
      <c r="E83" t="s">
        <v>74</v>
      </c>
      <c r="F83" t="s">
        <v>782</v>
      </c>
      <c r="G83" t="s">
        <v>74</v>
      </c>
      <c r="H83" t="s">
        <v>74</v>
      </c>
      <c r="I83" t="s">
        <v>783</v>
      </c>
      <c r="J83" t="s">
        <v>77</v>
      </c>
      <c r="K83" t="s">
        <v>74</v>
      </c>
      <c r="L83" t="s">
        <v>74</v>
      </c>
      <c r="M83" t="s">
        <v>78</v>
      </c>
      <c r="N83" t="s">
        <v>52</v>
      </c>
      <c r="O83" t="s">
        <v>79</v>
      </c>
      <c r="P83" t="s">
        <v>80</v>
      </c>
      <c r="Q83" t="s">
        <v>81</v>
      </c>
      <c r="R83" t="s">
        <v>74</v>
      </c>
      <c r="S83" t="s">
        <v>82</v>
      </c>
      <c r="T83" t="s">
        <v>74</v>
      </c>
      <c r="U83" t="s">
        <v>74</v>
      </c>
      <c r="V83" t="s">
        <v>74</v>
      </c>
      <c r="W83" t="s">
        <v>784</v>
      </c>
      <c r="X83" t="s">
        <v>785</v>
      </c>
      <c r="Y83" t="s">
        <v>74</v>
      </c>
      <c r="Z83" t="s">
        <v>786</v>
      </c>
      <c r="AA83" t="s">
        <v>74</v>
      </c>
      <c r="AB83" t="s">
        <v>74</v>
      </c>
      <c r="AC83" t="s">
        <v>74</v>
      </c>
      <c r="AD83" t="s">
        <v>74</v>
      </c>
      <c r="AE83" t="s">
        <v>74</v>
      </c>
      <c r="AF83" t="s">
        <v>74</v>
      </c>
      <c r="AG83">
        <v>12</v>
      </c>
      <c r="AH83">
        <v>3</v>
      </c>
      <c r="AI83">
        <v>4</v>
      </c>
      <c r="AJ83">
        <v>0</v>
      </c>
      <c r="AK83">
        <v>0</v>
      </c>
      <c r="AL83" t="s">
        <v>109</v>
      </c>
      <c r="AM83" t="s">
        <v>110</v>
      </c>
      <c r="AN83" t="s">
        <v>111</v>
      </c>
      <c r="AO83" t="s">
        <v>91</v>
      </c>
      <c r="AP83" t="s">
        <v>74</v>
      </c>
      <c r="AQ83" t="s">
        <v>74</v>
      </c>
      <c r="AR83" t="s">
        <v>93</v>
      </c>
      <c r="AS83" t="s">
        <v>94</v>
      </c>
      <c r="AT83" t="s">
        <v>95</v>
      </c>
      <c r="AU83">
        <v>2008</v>
      </c>
      <c r="AV83">
        <v>43</v>
      </c>
      <c r="AW83">
        <v>7</v>
      </c>
      <c r="AX83" t="s">
        <v>74</v>
      </c>
      <c r="AY83" t="s">
        <v>96</v>
      </c>
      <c r="AZ83" t="s">
        <v>74</v>
      </c>
      <c r="BA83" t="s">
        <v>74</v>
      </c>
      <c r="BB83" t="s">
        <v>779</v>
      </c>
      <c r="BC83" t="s">
        <v>779</v>
      </c>
      <c r="BD83" t="s">
        <v>74</v>
      </c>
      <c r="BE83" t="s">
        <v>74</v>
      </c>
      <c r="BF83" t="s">
        <v>74</v>
      </c>
      <c r="BG83" t="s">
        <v>74</v>
      </c>
      <c r="BH83" t="s">
        <v>74</v>
      </c>
      <c r="BI83">
        <v>1</v>
      </c>
      <c r="BJ83" t="s">
        <v>98</v>
      </c>
      <c r="BK83" t="s">
        <v>113</v>
      </c>
      <c r="BL83" t="s">
        <v>98</v>
      </c>
      <c r="BM83" t="s">
        <v>100</v>
      </c>
      <c r="BN83" t="s">
        <v>74</v>
      </c>
      <c r="BO83" t="s">
        <v>74</v>
      </c>
      <c r="BP83" t="s">
        <v>74</v>
      </c>
      <c r="BQ83" t="s">
        <v>74</v>
      </c>
      <c r="BR83" t="s">
        <v>101</v>
      </c>
      <c r="BS83" t="s">
        <v>787</v>
      </c>
      <c r="BT83" t="str">
        <f>HYPERLINK("https%3A%2F%2Fwww.webofscience.com%2Fwos%2Fwoscc%2Ffull-record%2FWOS:000257683100104","View Full Record in Web of Science")</f>
        <v>View Full Record in Web of Science</v>
      </c>
    </row>
    <row r="84" spans="1:72" x14ac:dyDescent="0.15">
      <c r="A84" t="s">
        <v>72</v>
      </c>
      <c r="B84" t="s">
        <v>788</v>
      </c>
      <c r="C84" t="s">
        <v>74</v>
      </c>
      <c r="D84" t="s">
        <v>74</v>
      </c>
      <c r="E84" t="s">
        <v>74</v>
      </c>
      <c r="F84" t="s">
        <v>789</v>
      </c>
      <c r="G84" t="s">
        <v>74</v>
      </c>
      <c r="H84" t="s">
        <v>74</v>
      </c>
      <c r="I84" t="s">
        <v>790</v>
      </c>
      <c r="J84" t="s">
        <v>77</v>
      </c>
      <c r="K84" t="s">
        <v>74</v>
      </c>
      <c r="L84" t="s">
        <v>74</v>
      </c>
      <c r="M84" t="s">
        <v>78</v>
      </c>
      <c r="N84" t="s">
        <v>52</v>
      </c>
      <c r="O84" t="s">
        <v>79</v>
      </c>
      <c r="P84" t="s">
        <v>80</v>
      </c>
      <c r="Q84" t="s">
        <v>81</v>
      </c>
      <c r="R84" t="s">
        <v>74</v>
      </c>
      <c r="S84" t="s">
        <v>82</v>
      </c>
      <c r="T84" t="s">
        <v>74</v>
      </c>
      <c r="U84" t="s">
        <v>74</v>
      </c>
      <c r="V84" t="s">
        <v>74</v>
      </c>
      <c r="W84" t="s">
        <v>791</v>
      </c>
      <c r="X84" t="s">
        <v>792</v>
      </c>
      <c r="Y84" t="s">
        <v>74</v>
      </c>
      <c r="Z84" t="s">
        <v>793</v>
      </c>
      <c r="AA84" t="s">
        <v>74</v>
      </c>
      <c r="AB84" t="s">
        <v>74</v>
      </c>
      <c r="AC84" t="s">
        <v>74</v>
      </c>
      <c r="AD84" t="s">
        <v>74</v>
      </c>
      <c r="AE84" t="s">
        <v>74</v>
      </c>
      <c r="AF84" t="s">
        <v>74</v>
      </c>
      <c r="AG84">
        <v>4</v>
      </c>
      <c r="AH84">
        <v>4</v>
      </c>
      <c r="AI84">
        <v>4</v>
      </c>
      <c r="AJ84">
        <v>0</v>
      </c>
      <c r="AK84">
        <v>1</v>
      </c>
      <c r="AL84" t="s">
        <v>149</v>
      </c>
      <c r="AM84" t="s">
        <v>150</v>
      </c>
      <c r="AN84" t="s">
        <v>151</v>
      </c>
      <c r="AO84" t="s">
        <v>91</v>
      </c>
      <c r="AP84" t="s">
        <v>74</v>
      </c>
      <c r="AQ84" t="s">
        <v>74</v>
      </c>
      <c r="AR84" t="s">
        <v>93</v>
      </c>
      <c r="AS84" t="s">
        <v>94</v>
      </c>
      <c r="AT84" t="s">
        <v>95</v>
      </c>
      <c r="AU84">
        <v>2008</v>
      </c>
      <c r="AV84">
        <v>43</v>
      </c>
      <c r="AW84">
        <v>7</v>
      </c>
      <c r="AX84" t="s">
        <v>74</v>
      </c>
      <c r="AY84" t="s">
        <v>96</v>
      </c>
      <c r="AZ84" t="s">
        <v>74</v>
      </c>
      <c r="BA84" t="s">
        <v>74</v>
      </c>
      <c r="BB84" t="s">
        <v>794</v>
      </c>
      <c r="BC84" t="s">
        <v>794</v>
      </c>
      <c r="BD84" t="s">
        <v>74</v>
      </c>
      <c r="BE84" t="s">
        <v>74</v>
      </c>
      <c r="BF84" t="s">
        <v>74</v>
      </c>
      <c r="BG84" t="s">
        <v>74</v>
      </c>
      <c r="BH84" t="s">
        <v>74</v>
      </c>
      <c r="BI84">
        <v>1</v>
      </c>
      <c r="BJ84" t="s">
        <v>98</v>
      </c>
      <c r="BK84" t="s">
        <v>99</v>
      </c>
      <c r="BL84" t="s">
        <v>98</v>
      </c>
      <c r="BM84" t="s">
        <v>100</v>
      </c>
      <c r="BN84" t="s">
        <v>74</v>
      </c>
      <c r="BO84" t="s">
        <v>74</v>
      </c>
      <c r="BP84" t="s">
        <v>74</v>
      </c>
      <c r="BQ84" t="s">
        <v>74</v>
      </c>
      <c r="BR84" t="s">
        <v>101</v>
      </c>
      <c r="BS84" t="s">
        <v>795</v>
      </c>
      <c r="BT84" t="str">
        <f>HYPERLINK("https%3A%2F%2Fwww.webofscience.com%2Fwos%2Fwoscc%2Ffull-record%2FWOS:000257683100105","View Full Record in Web of Science")</f>
        <v>View Full Record in Web of Science</v>
      </c>
    </row>
    <row r="85" spans="1:72" x14ac:dyDescent="0.15">
      <c r="A85" t="s">
        <v>72</v>
      </c>
      <c r="B85" t="s">
        <v>796</v>
      </c>
      <c r="C85" t="s">
        <v>74</v>
      </c>
      <c r="D85" t="s">
        <v>74</v>
      </c>
      <c r="E85" t="s">
        <v>74</v>
      </c>
      <c r="F85" t="s">
        <v>797</v>
      </c>
      <c r="G85" t="s">
        <v>74</v>
      </c>
      <c r="H85" t="s">
        <v>74</v>
      </c>
      <c r="I85" t="s">
        <v>798</v>
      </c>
      <c r="J85" t="s">
        <v>77</v>
      </c>
      <c r="K85" t="s">
        <v>74</v>
      </c>
      <c r="L85" t="s">
        <v>74</v>
      </c>
      <c r="M85" t="s">
        <v>78</v>
      </c>
      <c r="N85" t="s">
        <v>52</v>
      </c>
      <c r="O85" t="s">
        <v>79</v>
      </c>
      <c r="P85" t="s">
        <v>80</v>
      </c>
      <c r="Q85" t="s">
        <v>81</v>
      </c>
      <c r="R85" t="s">
        <v>74</v>
      </c>
      <c r="S85" t="s">
        <v>82</v>
      </c>
      <c r="T85" t="s">
        <v>74</v>
      </c>
      <c r="U85" t="s">
        <v>74</v>
      </c>
      <c r="V85" t="s">
        <v>74</v>
      </c>
      <c r="W85" t="s">
        <v>799</v>
      </c>
      <c r="X85" t="s">
        <v>800</v>
      </c>
      <c r="Y85" t="s">
        <v>74</v>
      </c>
      <c r="Z85" t="s">
        <v>801</v>
      </c>
      <c r="AA85" t="s">
        <v>802</v>
      </c>
      <c r="AB85" t="s">
        <v>803</v>
      </c>
      <c r="AC85" t="s">
        <v>74</v>
      </c>
      <c r="AD85" t="s">
        <v>74</v>
      </c>
      <c r="AE85" t="s">
        <v>74</v>
      </c>
      <c r="AF85" t="s">
        <v>74</v>
      </c>
      <c r="AG85">
        <v>1</v>
      </c>
      <c r="AH85">
        <v>0</v>
      </c>
      <c r="AI85">
        <v>0</v>
      </c>
      <c r="AJ85">
        <v>0</v>
      </c>
      <c r="AK85">
        <v>1</v>
      </c>
      <c r="AL85" t="s">
        <v>149</v>
      </c>
      <c r="AM85" t="s">
        <v>150</v>
      </c>
      <c r="AN85" t="s">
        <v>151</v>
      </c>
      <c r="AO85" t="s">
        <v>91</v>
      </c>
      <c r="AP85" t="s">
        <v>74</v>
      </c>
      <c r="AQ85" t="s">
        <v>74</v>
      </c>
      <c r="AR85" t="s">
        <v>93</v>
      </c>
      <c r="AS85" t="s">
        <v>94</v>
      </c>
      <c r="AT85" t="s">
        <v>95</v>
      </c>
      <c r="AU85">
        <v>2008</v>
      </c>
      <c r="AV85">
        <v>43</v>
      </c>
      <c r="AW85">
        <v>7</v>
      </c>
      <c r="AX85" t="s">
        <v>74</v>
      </c>
      <c r="AY85" t="s">
        <v>96</v>
      </c>
      <c r="AZ85" t="s">
        <v>74</v>
      </c>
      <c r="BA85" t="s">
        <v>74</v>
      </c>
      <c r="BB85" t="s">
        <v>794</v>
      </c>
      <c r="BC85" t="s">
        <v>794</v>
      </c>
      <c r="BD85" t="s">
        <v>74</v>
      </c>
      <c r="BE85" t="s">
        <v>74</v>
      </c>
      <c r="BF85" t="s">
        <v>74</v>
      </c>
      <c r="BG85" t="s">
        <v>74</v>
      </c>
      <c r="BH85" t="s">
        <v>74</v>
      </c>
      <c r="BI85">
        <v>1</v>
      </c>
      <c r="BJ85" t="s">
        <v>98</v>
      </c>
      <c r="BK85" t="s">
        <v>99</v>
      </c>
      <c r="BL85" t="s">
        <v>98</v>
      </c>
      <c r="BM85" t="s">
        <v>100</v>
      </c>
      <c r="BN85" t="s">
        <v>74</v>
      </c>
      <c r="BO85" t="s">
        <v>74</v>
      </c>
      <c r="BP85" t="s">
        <v>74</v>
      </c>
      <c r="BQ85" t="s">
        <v>74</v>
      </c>
      <c r="BR85" t="s">
        <v>101</v>
      </c>
      <c r="BS85" t="s">
        <v>804</v>
      </c>
      <c r="BT85" t="str">
        <f>HYPERLINK("https%3A%2F%2Fwww.webofscience.com%2Fwos%2Fwoscc%2Ffull-record%2FWOS:000257683100106","View Full Record in Web of Science")</f>
        <v>View Full Record in Web of Science</v>
      </c>
    </row>
    <row r="86" spans="1:72" x14ac:dyDescent="0.15">
      <c r="A86" t="s">
        <v>72</v>
      </c>
      <c r="B86" t="s">
        <v>805</v>
      </c>
      <c r="C86" t="s">
        <v>74</v>
      </c>
      <c r="D86" t="s">
        <v>74</v>
      </c>
      <c r="E86" t="s">
        <v>74</v>
      </c>
      <c r="F86" t="s">
        <v>806</v>
      </c>
      <c r="G86" t="s">
        <v>74</v>
      </c>
      <c r="H86" t="s">
        <v>74</v>
      </c>
      <c r="I86" t="s">
        <v>807</v>
      </c>
      <c r="J86" t="s">
        <v>77</v>
      </c>
      <c r="K86" t="s">
        <v>74</v>
      </c>
      <c r="L86" t="s">
        <v>74</v>
      </c>
      <c r="M86" t="s">
        <v>78</v>
      </c>
      <c r="N86" t="s">
        <v>52</v>
      </c>
      <c r="O86" t="s">
        <v>79</v>
      </c>
      <c r="P86" t="s">
        <v>80</v>
      </c>
      <c r="Q86" t="s">
        <v>81</v>
      </c>
      <c r="R86" t="s">
        <v>74</v>
      </c>
      <c r="S86" t="s">
        <v>82</v>
      </c>
      <c r="T86" t="s">
        <v>74</v>
      </c>
      <c r="U86" t="s">
        <v>74</v>
      </c>
      <c r="V86" t="s">
        <v>74</v>
      </c>
      <c r="W86" t="s">
        <v>808</v>
      </c>
      <c r="X86" t="s">
        <v>809</v>
      </c>
      <c r="Y86" t="s">
        <v>74</v>
      </c>
      <c r="Z86" t="s">
        <v>810</v>
      </c>
      <c r="AA86" t="s">
        <v>811</v>
      </c>
      <c r="AB86" t="s">
        <v>812</v>
      </c>
      <c r="AC86" t="s">
        <v>813</v>
      </c>
      <c r="AD86" t="s">
        <v>333</v>
      </c>
      <c r="AE86" t="s">
        <v>74</v>
      </c>
      <c r="AF86" t="s">
        <v>74</v>
      </c>
      <c r="AG86">
        <v>5</v>
      </c>
      <c r="AH86">
        <v>0</v>
      </c>
      <c r="AI86">
        <v>0</v>
      </c>
      <c r="AJ86">
        <v>0</v>
      </c>
      <c r="AK86">
        <v>2</v>
      </c>
      <c r="AL86" t="s">
        <v>149</v>
      </c>
      <c r="AM86" t="s">
        <v>150</v>
      </c>
      <c r="AN86" t="s">
        <v>151</v>
      </c>
      <c r="AO86" t="s">
        <v>91</v>
      </c>
      <c r="AP86" t="s">
        <v>74</v>
      </c>
      <c r="AQ86" t="s">
        <v>74</v>
      </c>
      <c r="AR86" t="s">
        <v>93</v>
      </c>
      <c r="AS86" t="s">
        <v>94</v>
      </c>
      <c r="AT86" t="s">
        <v>95</v>
      </c>
      <c r="AU86">
        <v>2008</v>
      </c>
      <c r="AV86">
        <v>43</v>
      </c>
      <c r="AW86">
        <v>7</v>
      </c>
      <c r="AX86" t="s">
        <v>74</v>
      </c>
      <c r="AY86" t="s">
        <v>96</v>
      </c>
      <c r="AZ86" t="s">
        <v>74</v>
      </c>
      <c r="BA86" t="s">
        <v>74</v>
      </c>
      <c r="BB86" t="s">
        <v>814</v>
      </c>
      <c r="BC86" t="s">
        <v>814</v>
      </c>
      <c r="BD86" t="s">
        <v>74</v>
      </c>
      <c r="BE86" t="s">
        <v>74</v>
      </c>
      <c r="BF86" t="s">
        <v>74</v>
      </c>
      <c r="BG86" t="s">
        <v>74</v>
      </c>
      <c r="BH86" t="s">
        <v>74</v>
      </c>
      <c r="BI86">
        <v>1</v>
      </c>
      <c r="BJ86" t="s">
        <v>98</v>
      </c>
      <c r="BK86" t="s">
        <v>99</v>
      </c>
      <c r="BL86" t="s">
        <v>98</v>
      </c>
      <c r="BM86" t="s">
        <v>100</v>
      </c>
      <c r="BN86" t="s">
        <v>74</v>
      </c>
      <c r="BO86" t="s">
        <v>74</v>
      </c>
      <c r="BP86" t="s">
        <v>74</v>
      </c>
      <c r="BQ86" t="s">
        <v>74</v>
      </c>
      <c r="BR86" t="s">
        <v>101</v>
      </c>
      <c r="BS86" t="s">
        <v>815</v>
      </c>
      <c r="BT86" t="str">
        <f>HYPERLINK("https%3A%2F%2Fwww.webofscience.com%2Fwos%2Fwoscc%2Ffull-record%2FWOS:000257683100107","View Full Record in Web of Science")</f>
        <v>View Full Record in Web of Science</v>
      </c>
    </row>
    <row r="87" spans="1:72" x14ac:dyDescent="0.15">
      <c r="A87" t="s">
        <v>72</v>
      </c>
      <c r="B87" t="s">
        <v>816</v>
      </c>
      <c r="C87" t="s">
        <v>74</v>
      </c>
      <c r="D87" t="s">
        <v>74</v>
      </c>
      <c r="E87" t="s">
        <v>74</v>
      </c>
      <c r="F87" t="s">
        <v>817</v>
      </c>
      <c r="G87" t="s">
        <v>74</v>
      </c>
      <c r="H87" t="s">
        <v>74</v>
      </c>
      <c r="I87" t="s">
        <v>818</v>
      </c>
      <c r="J87" t="s">
        <v>77</v>
      </c>
      <c r="K87" t="s">
        <v>74</v>
      </c>
      <c r="L87" t="s">
        <v>74</v>
      </c>
      <c r="M87" t="s">
        <v>78</v>
      </c>
      <c r="N87" t="s">
        <v>52</v>
      </c>
      <c r="O87" t="s">
        <v>79</v>
      </c>
      <c r="P87" t="s">
        <v>80</v>
      </c>
      <c r="Q87" t="s">
        <v>81</v>
      </c>
      <c r="R87" t="s">
        <v>74</v>
      </c>
      <c r="S87" t="s">
        <v>82</v>
      </c>
      <c r="T87" t="s">
        <v>74</v>
      </c>
      <c r="U87" t="s">
        <v>819</v>
      </c>
      <c r="V87" t="s">
        <v>74</v>
      </c>
      <c r="W87" t="s">
        <v>820</v>
      </c>
      <c r="X87" t="s">
        <v>403</v>
      </c>
      <c r="Y87" t="s">
        <v>74</v>
      </c>
      <c r="Z87" t="s">
        <v>821</v>
      </c>
      <c r="AA87" t="s">
        <v>74</v>
      </c>
      <c r="AB87" t="s">
        <v>74</v>
      </c>
      <c r="AC87" t="s">
        <v>74</v>
      </c>
      <c r="AD87" t="s">
        <v>74</v>
      </c>
      <c r="AE87" t="s">
        <v>74</v>
      </c>
      <c r="AF87" t="s">
        <v>74</v>
      </c>
      <c r="AG87">
        <v>11</v>
      </c>
      <c r="AH87">
        <v>1</v>
      </c>
      <c r="AI87">
        <v>1</v>
      </c>
      <c r="AJ87">
        <v>0</v>
      </c>
      <c r="AK87">
        <v>1</v>
      </c>
      <c r="AL87" t="s">
        <v>149</v>
      </c>
      <c r="AM87" t="s">
        <v>150</v>
      </c>
      <c r="AN87" t="s">
        <v>151</v>
      </c>
      <c r="AO87" t="s">
        <v>91</v>
      </c>
      <c r="AP87" t="s">
        <v>74</v>
      </c>
      <c r="AQ87" t="s">
        <v>74</v>
      </c>
      <c r="AR87" t="s">
        <v>93</v>
      </c>
      <c r="AS87" t="s">
        <v>94</v>
      </c>
      <c r="AT87" t="s">
        <v>95</v>
      </c>
      <c r="AU87">
        <v>2008</v>
      </c>
      <c r="AV87">
        <v>43</v>
      </c>
      <c r="AW87">
        <v>7</v>
      </c>
      <c r="AX87" t="s">
        <v>74</v>
      </c>
      <c r="AY87" t="s">
        <v>96</v>
      </c>
      <c r="AZ87" t="s">
        <v>74</v>
      </c>
      <c r="BA87" t="s">
        <v>74</v>
      </c>
      <c r="BB87" t="s">
        <v>814</v>
      </c>
      <c r="BC87" t="s">
        <v>814</v>
      </c>
      <c r="BD87" t="s">
        <v>74</v>
      </c>
      <c r="BE87" t="s">
        <v>74</v>
      </c>
      <c r="BF87" t="s">
        <v>74</v>
      </c>
      <c r="BG87" t="s">
        <v>74</v>
      </c>
      <c r="BH87" t="s">
        <v>74</v>
      </c>
      <c r="BI87">
        <v>1</v>
      </c>
      <c r="BJ87" t="s">
        <v>98</v>
      </c>
      <c r="BK87" t="s">
        <v>99</v>
      </c>
      <c r="BL87" t="s">
        <v>98</v>
      </c>
      <c r="BM87" t="s">
        <v>100</v>
      </c>
      <c r="BN87" t="s">
        <v>74</v>
      </c>
      <c r="BO87" t="s">
        <v>74</v>
      </c>
      <c r="BP87" t="s">
        <v>74</v>
      </c>
      <c r="BQ87" t="s">
        <v>74</v>
      </c>
      <c r="BR87" t="s">
        <v>101</v>
      </c>
      <c r="BS87" t="s">
        <v>822</v>
      </c>
      <c r="BT87" t="str">
        <f>HYPERLINK("https%3A%2F%2Fwww.webofscience.com%2Fwos%2Fwoscc%2Ffull-record%2FWOS:000257683100108","View Full Record in Web of Science")</f>
        <v>View Full Record in Web of Science</v>
      </c>
    </row>
    <row r="88" spans="1:72" x14ac:dyDescent="0.15">
      <c r="A88" t="s">
        <v>72</v>
      </c>
      <c r="B88" t="s">
        <v>823</v>
      </c>
      <c r="C88" t="s">
        <v>74</v>
      </c>
      <c r="D88" t="s">
        <v>74</v>
      </c>
      <c r="E88" t="s">
        <v>74</v>
      </c>
      <c r="F88" t="s">
        <v>824</v>
      </c>
      <c r="G88" t="s">
        <v>74</v>
      </c>
      <c r="H88" t="s">
        <v>74</v>
      </c>
      <c r="I88" t="s">
        <v>825</v>
      </c>
      <c r="J88" t="s">
        <v>77</v>
      </c>
      <c r="K88" t="s">
        <v>74</v>
      </c>
      <c r="L88" t="s">
        <v>74</v>
      </c>
      <c r="M88" t="s">
        <v>78</v>
      </c>
      <c r="N88" t="s">
        <v>52</v>
      </c>
      <c r="O88" t="s">
        <v>79</v>
      </c>
      <c r="P88" t="s">
        <v>80</v>
      </c>
      <c r="Q88" t="s">
        <v>81</v>
      </c>
      <c r="R88" t="s">
        <v>74</v>
      </c>
      <c r="S88" t="s">
        <v>82</v>
      </c>
      <c r="T88" t="s">
        <v>74</v>
      </c>
      <c r="U88" t="s">
        <v>74</v>
      </c>
      <c r="V88" t="s">
        <v>74</v>
      </c>
      <c r="W88" t="s">
        <v>826</v>
      </c>
      <c r="X88" t="s">
        <v>827</v>
      </c>
      <c r="Y88" t="s">
        <v>74</v>
      </c>
      <c r="Z88" t="s">
        <v>828</v>
      </c>
      <c r="AA88" t="s">
        <v>829</v>
      </c>
      <c r="AB88" t="s">
        <v>74</v>
      </c>
      <c r="AC88" t="s">
        <v>521</v>
      </c>
      <c r="AD88" t="s">
        <v>522</v>
      </c>
      <c r="AE88" t="s">
        <v>74</v>
      </c>
      <c r="AF88" t="s">
        <v>74</v>
      </c>
      <c r="AG88">
        <v>4</v>
      </c>
      <c r="AH88">
        <v>0</v>
      </c>
      <c r="AI88">
        <v>0</v>
      </c>
      <c r="AJ88">
        <v>0</v>
      </c>
      <c r="AK88">
        <v>5</v>
      </c>
      <c r="AL88" t="s">
        <v>88</v>
      </c>
      <c r="AM88" t="s">
        <v>89</v>
      </c>
      <c r="AN88" t="s">
        <v>90</v>
      </c>
      <c r="AO88" t="s">
        <v>91</v>
      </c>
      <c r="AP88" t="s">
        <v>92</v>
      </c>
      <c r="AQ88" t="s">
        <v>74</v>
      </c>
      <c r="AR88" t="s">
        <v>93</v>
      </c>
      <c r="AS88" t="s">
        <v>94</v>
      </c>
      <c r="AT88" t="s">
        <v>95</v>
      </c>
      <c r="AU88">
        <v>2008</v>
      </c>
      <c r="AV88">
        <v>43</v>
      </c>
      <c r="AW88">
        <v>7</v>
      </c>
      <c r="AX88" t="s">
        <v>74</v>
      </c>
      <c r="AY88" t="s">
        <v>96</v>
      </c>
      <c r="AZ88" t="s">
        <v>74</v>
      </c>
      <c r="BA88" t="s">
        <v>74</v>
      </c>
      <c r="BB88" t="s">
        <v>830</v>
      </c>
      <c r="BC88" t="s">
        <v>830</v>
      </c>
      <c r="BD88" t="s">
        <v>74</v>
      </c>
      <c r="BE88" t="s">
        <v>74</v>
      </c>
      <c r="BF88" t="s">
        <v>74</v>
      </c>
      <c r="BG88" t="s">
        <v>74</v>
      </c>
      <c r="BH88" t="s">
        <v>74</v>
      </c>
      <c r="BI88">
        <v>1</v>
      </c>
      <c r="BJ88" t="s">
        <v>98</v>
      </c>
      <c r="BK88" t="s">
        <v>99</v>
      </c>
      <c r="BL88" t="s">
        <v>98</v>
      </c>
      <c r="BM88" t="s">
        <v>100</v>
      </c>
      <c r="BN88" t="s">
        <v>74</v>
      </c>
      <c r="BO88" t="s">
        <v>74</v>
      </c>
      <c r="BP88" t="s">
        <v>74</v>
      </c>
      <c r="BQ88" t="s">
        <v>74</v>
      </c>
      <c r="BR88" t="s">
        <v>101</v>
      </c>
      <c r="BS88" t="s">
        <v>831</v>
      </c>
      <c r="BT88" t="str">
        <f>HYPERLINK("https%3A%2F%2Fwww.webofscience.com%2Fwos%2Fwoscc%2Ffull-record%2FWOS:000257683100109","View Full Record in Web of Science")</f>
        <v>View Full Record in Web of Science</v>
      </c>
    </row>
    <row r="89" spans="1:72" x14ac:dyDescent="0.15">
      <c r="A89" t="s">
        <v>72</v>
      </c>
      <c r="B89" t="s">
        <v>832</v>
      </c>
      <c r="C89" t="s">
        <v>74</v>
      </c>
      <c r="D89" t="s">
        <v>74</v>
      </c>
      <c r="E89" t="s">
        <v>74</v>
      </c>
      <c r="F89" t="s">
        <v>833</v>
      </c>
      <c r="G89" t="s">
        <v>74</v>
      </c>
      <c r="H89" t="s">
        <v>74</v>
      </c>
      <c r="I89" t="s">
        <v>834</v>
      </c>
      <c r="J89" t="s">
        <v>77</v>
      </c>
      <c r="K89" t="s">
        <v>74</v>
      </c>
      <c r="L89" t="s">
        <v>74</v>
      </c>
      <c r="M89" t="s">
        <v>78</v>
      </c>
      <c r="N89" t="s">
        <v>52</v>
      </c>
      <c r="O89" t="s">
        <v>79</v>
      </c>
      <c r="P89" t="s">
        <v>80</v>
      </c>
      <c r="Q89" t="s">
        <v>81</v>
      </c>
      <c r="R89" t="s">
        <v>74</v>
      </c>
      <c r="S89" t="s">
        <v>82</v>
      </c>
      <c r="T89" t="s">
        <v>74</v>
      </c>
      <c r="U89" t="s">
        <v>835</v>
      </c>
      <c r="V89" t="s">
        <v>74</v>
      </c>
      <c r="W89" t="s">
        <v>836</v>
      </c>
      <c r="X89" t="s">
        <v>837</v>
      </c>
      <c r="Y89" t="s">
        <v>74</v>
      </c>
      <c r="Z89" t="s">
        <v>838</v>
      </c>
      <c r="AA89" t="s">
        <v>74</v>
      </c>
      <c r="AB89" t="s">
        <v>74</v>
      </c>
      <c r="AC89" t="s">
        <v>74</v>
      </c>
      <c r="AD89" t="s">
        <v>74</v>
      </c>
      <c r="AE89" t="s">
        <v>74</v>
      </c>
      <c r="AF89" t="s">
        <v>74</v>
      </c>
      <c r="AG89">
        <v>5</v>
      </c>
      <c r="AH89">
        <v>1</v>
      </c>
      <c r="AI89">
        <v>1</v>
      </c>
      <c r="AJ89">
        <v>0</v>
      </c>
      <c r="AK89">
        <v>0</v>
      </c>
      <c r="AL89" t="s">
        <v>88</v>
      </c>
      <c r="AM89" t="s">
        <v>89</v>
      </c>
      <c r="AN89" t="s">
        <v>90</v>
      </c>
      <c r="AO89" t="s">
        <v>91</v>
      </c>
      <c r="AP89" t="s">
        <v>92</v>
      </c>
      <c r="AQ89" t="s">
        <v>74</v>
      </c>
      <c r="AR89" t="s">
        <v>93</v>
      </c>
      <c r="AS89" t="s">
        <v>94</v>
      </c>
      <c r="AT89" t="s">
        <v>95</v>
      </c>
      <c r="AU89">
        <v>2008</v>
      </c>
      <c r="AV89">
        <v>43</v>
      </c>
      <c r="AW89">
        <v>7</v>
      </c>
      <c r="AX89" t="s">
        <v>74</v>
      </c>
      <c r="AY89" t="s">
        <v>96</v>
      </c>
      <c r="AZ89" t="s">
        <v>74</v>
      </c>
      <c r="BA89" t="s">
        <v>74</v>
      </c>
      <c r="BB89" t="s">
        <v>830</v>
      </c>
      <c r="BC89" t="s">
        <v>830</v>
      </c>
      <c r="BD89" t="s">
        <v>74</v>
      </c>
      <c r="BE89" t="s">
        <v>74</v>
      </c>
      <c r="BF89" t="s">
        <v>74</v>
      </c>
      <c r="BG89" t="s">
        <v>74</v>
      </c>
      <c r="BH89" t="s">
        <v>74</v>
      </c>
      <c r="BI89">
        <v>1</v>
      </c>
      <c r="BJ89" t="s">
        <v>98</v>
      </c>
      <c r="BK89" t="s">
        <v>99</v>
      </c>
      <c r="BL89" t="s">
        <v>98</v>
      </c>
      <c r="BM89" t="s">
        <v>100</v>
      </c>
      <c r="BN89" t="s">
        <v>74</v>
      </c>
      <c r="BO89" t="s">
        <v>74</v>
      </c>
      <c r="BP89" t="s">
        <v>74</v>
      </c>
      <c r="BQ89" t="s">
        <v>74</v>
      </c>
      <c r="BR89" t="s">
        <v>101</v>
      </c>
      <c r="BS89" t="s">
        <v>839</v>
      </c>
      <c r="BT89" t="str">
        <f>HYPERLINK("https%3A%2F%2Fwww.webofscience.com%2Fwos%2Fwoscc%2Ffull-record%2FWOS:000257683100110","View Full Record in Web of Science")</f>
        <v>View Full Record in Web of Science</v>
      </c>
    </row>
    <row r="90" spans="1:72" x14ac:dyDescent="0.15">
      <c r="A90" t="s">
        <v>72</v>
      </c>
      <c r="B90" t="s">
        <v>840</v>
      </c>
      <c r="C90" t="s">
        <v>74</v>
      </c>
      <c r="D90" t="s">
        <v>74</v>
      </c>
      <c r="E90" t="s">
        <v>74</v>
      </c>
      <c r="F90" t="s">
        <v>841</v>
      </c>
      <c r="G90" t="s">
        <v>74</v>
      </c>
      <c r="H90" t="s">
        <v>74</v>
      </c>
      <c r="I90" t="s">
        <v>842</v>
      </c>
      <c r="J90" t="s">
        <v>77</v>
      </c>
      <c r="K90" t="s">
        <v>74</v>
      </c>
      <c r="L90" t="s">
        <v>74</v>
      </c>
      <c r="M90" t="s">
        <v>78</v>
      </c>
      <c r="N90" t="s">
        <v>52</v>
      </c>
      <c r="O90" t="s">
        <v>79</v>
      </c>
      <c r="P90" t="s">
        <v>80</v>
      </c>
      <c r="Q90" t="s">
        <v>81</v>
      </c>
      <c r="R90" t="s">
        <v>74</v>
      </c>
      <c r="S90" t="s">
        <v>82</v>
      </c>
      <c r="T90" t="s">
        <v>74</v>
      </c>
      <c r="U90" t="s">
        <v>74</v>
      </c>
      <c r="V90" t="s">
        <v>74</v>
      </c>
      <c r="W90" t="s">
        <v>843</v>
      </c>
      <c r="X90" t="s">
        <v>519</v>
      </c>
      <c r="Y90" t="s">
        <v>74</v>
      </c>
      <c r="Z90" t="s">
        <v>844</v>
      </c>
      <c r="AA90" t="s">
        <v>74</v>
      </c>
      <c r="AB90" t="s">
        <v>74</v>
      </c>
      <c r="AC90" t="s">
        <v>521</v>
      </c>
      <c r="AD90" t="s">
        <v>522</v>
      </c>
      <c r="AE90" t="s">
        <v>74</v>
      </c>
      <c r="AF90" t="s">
        <v>74</v>
      </c>
      <c r="AG90">
        <v>4</v>
      </c>
      <c r="AH90">
        <v>1</v>
      </c>
      <c r="AI90">
        <v>1</v>
      </c>
      <c r="AJ90">
        <v>0</v>
      </c>
      <c r="AK90">
        <v>1</v>
      </c>
      <c r="AL90" t="s">
        <v>109</v>
      </c>
      <c r="AM90" t="s">
        <v>110</v>
      </c>
      <c r="AN90" t="s">
        <v>111</v>
      </c>
      <c r="AO90" t="s">
        <v>91</v>
      </c>
      <c r="AP90" t="s">
        <v>74</v>
      </c>
      <c r="AQ90" t="s">
        <v>74</v>
      </c>
      <c r="AR90" t="s">
        <v>93</v>
      </c>
      <c r="AS90" t="s">
        <v>94</v>
      </c>
      <c r="AT90" t="s">
        <v>95</v>
      </c>
      <c r="AU90">
        <v>2008</v>
      </c>
      <c r="AV90">
        <v>43</v>
      </c>
      <c r="AW90">
        <v>7</v>
      </c>
      <c r="AX90" t="s">
        <v>74</v>
      </c>
      <c r="AY90" t="s">
        <v>96</v>
      </c>
      <c r="AZ90" t="s">
        <v>74</v>
      </c>
      <c r="BA90" t="s">
        <v>74</v>
      </c>
      <c r="BB90" t="s">
        <v>845</v>
      </c>
      <c r="BC90" t="s">
        <v>845</v>
      </c>
      <c r="BD90" t="s">
        <v>74</v>
      </c>
      <c r="BE90" t="s">
        <v>74</v>
      </c>
      <c r="BF90" t="s">
        <v>74</v>
      </c>
      <c r="BG90" t="s">
        <v>74</v>
      </c>
      <c r="BH90" t="s">
        <v>74</v>
      </c>
      <c r="BI90">
        <v>1</v>
      </c>
      <c r="BJ90" t="s">
        <v>98</v>
      </c>
      <c r="BK90" t="s">
        <v>113</v>
      </c>
      <c r="BL90" t="s">
        <v>98</v>
      </c>
      <c r="BM90" t="s">
        <v>100</v>
      </c>
      <c r="BN90" t="s">
        <v>74</v>
      </c>
      <c r="BO90" t="s">
        <v>74</v>
      </c>
      <c r="BP90" t="s">
        <v>74</v>
      </c>
      <c r="BQ90" t="s">
        <v>74</v>
      </c>
      <c r="BR90" t="s">
        <v>101</v>
      </c>
      <c r="BS90" t="s">
        <v>846</v>
      </c>
      <c r="BT90" t="str">
        <f>HYPERLINK("https%3A%2F%2Fwww.webofscience.com%2Fwos%2Fwoscc%2Ffull-record%2FWOS:000257683100111","View Full Record in Web of Science")</f>
        <v>View Full Record in Web of Science</v>
      </c>
    </row>
    <row r="91" spans="1:72" x14ac:dyDescent="0.15">
      <c r="A91" t="s">
        <v>72</v>
      </c>
      <c r="B91" t="s">
        <v>847</v>
      </c>
      <c r="C91" t="s">
        <v>74</v>
      </c>
      <c r="D91" t="s">
        <v>74</v>
      </c>
      <c r="E91" t="s">
        <v>74</v>
      </c>
      <c r="F91" t="s">
        <v>848</v>
      </c>
      <c r="G91" t="s">
        <v>74</v>
      </c>
      <c r="H91" t="s">
        <v>74</v>
      </c>
      <c r="I91" t="s">
        <v>849</v>
      </c>
      <c r="J91" t="s">
        <v>77</v>
      </c>
      <c r="K91" t="s">
        <v>74</v>
      </c>
      <c r="L91" t="s">
        <v>74</v>
      </c>
      <c r="M91" t="s">
        <v>78</v>
      </c>
      <c r="N91" t="s">
        <v>52</v>
      </c>
      <c r="O91" t="s">
        <v>79</v>
      </c>
      <c r="P91" t="s">
        <v>80</v>
      </c>
      <c r="Q91" t="s">
        <v>81</v>
      </c>
      <c r="R91" t="s">
        <v>74</v>
      </c>
      <c r="S91" t="s">
        <v>82</v>
      </c>
      <c r="T91" t="s">
        <v>74</v>
      </c>
      <c r="U91" t="s">
        <v>74</v>
      </c>
      <c r="V91" t="s">
        <v>74</v>
      </c>
      <c r="W91" t="s">
        <v>850</v>
      </c>
      <c r="X91" t="s">
        <v>403</v>
      </c>
      <c r="Y91" t="s">
        <v>74</v>
      </c>
      <c r="Z91" t="s">
        <v>851</v>
      </c>
      <c r="AA91" t="s">
        <v>852</v>
      </c>
      <c r="AB91" t="s">
        <v>74</v>
      </c>
      <c r="AC91" t="s">
        <v>74</v>
      </c>
      <c r="AD91" t="s">
        <v>74</v>
      </c>
      <c r="AE91" t="s">
        <v>74</v>
      </c>
      <c r="AF91" t="s">
        <v>74</v>
      </c>
      <c r="AG91">
        <v>3</v>
      </c>
      <c r="AH91">
        <v>0</v>
      </c>
      <c r="AI91">
        <v>0</v>
      </c>
      <c r="AJ91">
        <v>0</v>
      </c>
      <c r="AK91">
        <v>0</v>
      </c>
      <c r="AL91" t="s">
        <v>109</v>
      </c>
      <c r="AM91" t="s">
        <v>110</v>
      </c>
      <c r="AN91" t="s">
        <v>111</v>
      </c>
      <c r="AO91" t="s">
        <v>91</v>
      </c>
      <c r="AP91" t="s">
        <v>74</v>
      </c>
      <c r="AQ91" t="s">
        <v>74</v>
      </c>
      <c r="AR91" t="s">
        <v>93</v>
      </c>
      <c r="AS91" t="s">
        <v>94</v>
      </c>
      <c r="AT91" t="s">
        <v>95</v>
      </c>
      <c r="AU91">
        <v>2008</v>
      </c>
      <c r="AV91">
        <v>43</v>
      </c>
      <c r="AW91">
        <v>7</v>
      </c>
      <c r="AX91" t="s">
        <v>74</v>
      </c>
      <c r="AY91" t="s">
        <v>96</v>
      </c>
      <c r="AZ91" t="s">
        <v>74</v>
      </c>
      <c r="BA91" t="s">
        <v>74</v>
      </c>
      <c r="BB91" t="s">
        <v>845</v>
      </c>
      <c r="BC91" t="s">
        <v>845</v>
      </c>
      <c r="BD91" t="s">
        <v>74</v>
      </c>
      <c r="BE91" t="s">
        <v>74</v>
      </c>
      <c r="BF91" t="s">
        <v>74</v>
      </c>
      <c r="BG91" t="s">
        <v>74</v>
      </c>
      <c r="BH91" t="s">
        <v>74</v>
      </c>
      <c r="BI91">
        <v>1</v>
      </c>
      <c r="BJ91" t="s">
        <v>98</v>
      </c>
      <c r="BK91" t="s">
        <v>113</v>
      </c>
      <c r="BL91" t="s">
        <v>98</v>
      </c>
      <c r="BM91" t="s">
        <v>100</v>
      </c>
      <c r="BN91" t="s">
        <v>74</v>
      </c>
      <c r="BO91" t="s">
        <v>74</v>
      </c>
      <c r="BP91" t="s">
        <v>74</v>
      </c>
      <c r="BQ91" t="s">
        <v>74</v>
      </c>
      <c r="BR91" t="s">
        <v>101</v>
      </c>
      <c r="BS91" t="s">
        <v>853</v>
      </c>
      <c r="BT91" t="str">
        <f>HYPERLINK("https%3A%2F%2Fwww.webofscience.com%2Fwos%2Fwoscc%2Ffull-record%2FWOS:000257683100112","View Full Record in Web of Science")</f>
        <v>View Full Record in Web of Science</v>
      </c>
    </row>
    <row r="92" spans="1:72" x14ac:dyDescent="0.15">
      <c r="A92" t="s">
        <v>72</v>
      </c>
      <c r="B92" t="s">
        <v>854</v>
      </c>
      <c r="C92" t="s">
        <v>74</v>
      </c>
      <c r="D92" t="s">
        <v>74</v>
      </c>
      <c r="E92" t="s">
        <v>74</v>
      </c>
      <c r="F92" t="s">
        <v>855</v>
      </c>
      <c r="G92" t="s">
        <v>74</v>
      </c>
      <c r="H92" t="s">
        <v>74</v>
      </c>
      <c r="I92" t="s">
        <v>856</v>
      </c>
      <c r="J92" t="s">
        <v>77</v>
      </c>
      <c r="K92" t="s">
        <v>74</v>
      </c>
      <c r="L92" t="s">
        <v>74</v>
      </c>
      <c r="M92" t="s">
        <v>78</v>
      </c>
      <c r="N92" t="s">
        <v>52</v>
      </c>
      <c r="O92" t="s">
        <v>79</v>
      </c>
      <c r="P92" t="s">
        <v>80</v>
      </c>
      <c r="Q92" t="s">
        <v>81</v>
      </c>
      <c r="R92" t="s">
        <v>74</v>
      </c>
      <c r="S92" t="s">
        <v>82</v>
      </c>
      <c r="T92" t="s">
        <v>74</v>
      </c>
      <c r="U92" t="s">
        <v>74</v>
      </c>
      <c r="V92" t="s">
        <v>74</v>
      </c>
      <c r="W92" t="s">
        <v>857</v>
      </c>
      <c r="X92" t="s">
        <v>858</v>
      </c>
      <c r="Y92" t="s">
        <v>74</v>
      </c>
      <c r="Z92" t="s">
        <v>859</v>
      </c>
      <c r="AA92" t="s">
        <v>860</v>
      </c>
      <c r="AB92" t="s">
        <v>74</v>
      </c>
      <c r="AC92" t="s">
        <v>74</v>
      </c>
      <c r="AD92" t="s">
        <v>74</v>
      </c>
      <c r="AE92" t="s">
        <v>74</v>
      </c>
      <c r="AF92" t="s">
        <v>74</v>
      </c>
      <c r="AG92">
        <v>6</v>
      </c>
      <c r="AH92">
        <v>0</v>
      </c>
      <c r="AI92">
        <v>0</v>
      </c>
      <c r="AJ92">
        <v>0</v>
      </c>
      <c r="AK92">
        <v>0</v>
      </c>
      <c r="AL92" t="s">
        <v>109</v>
      </c>
      <c r="AM92" t="s">
        <v>110</v>
      </c>
      <c r="AN92" t="s">
        <v>111</v>
      </c>
      <c r="AO92" t="s">
        <v>91</v>
      </c>
      <c r="AP92" t="s">
        <v>74</v>
      </c>
      <c r="AQ92" t="s">
        <v>74</v>
      </c>
      <c r="AR92" t="s">
        <v>93</v>
      </c>
      <c r="AS92" t="s">
        <v>94</v>
      </c>
      <c r="AT92" t="s">
        <v>95</v>
      </c>
      <c r="AU92">
        <v>2008</v>
      </c>
      <c r="AV92">
        <v>43</v>
      </c>
      <c r="AW92">
        <v>7</v>
      </c>
      <c r="AX92" t="s">
        <v>74</v>
      </c>
      <c r="AY92" t="s">
        <v>96</v>
      </c>
      <c r="AZ92" t="s">
        <v>74</v>
      </c>
      <c r="BA92" t="s">
        <v>74</v>
      </c>
      <c r="BB92" t="s">
        <v>861</v>
      </c>
      <c r="BC92" t="s">
        <v>861</v>
      </c>
      <c r="BD92" t="s">
        <v>74</v>
      </c>
      <c r="BE92" t="s">
        <v>74</v>
      </c>
      <c r="BF92" t="s">
        <v>74</v>
      </c>
      <c r="BG92" t="s">
        <v>74</v>
      </c>
      <c r="BH92" t="s">
        <v>74</v>
      </c>
      <c r="BI92">
        <v>1</v>
      </c>
      <c r="BJ92" t="s">
        <v>98</v>
      </c>
      <c r="BK92" t="s">
        <v>113</v>
      </c>
      <c r="BL92" t="s">
        <v>98</v>
      </c>
      <c r="BM92" t="s">
        <v>100</v>
      </c>
      <c r="BN92" t="s">
        <v>74</v>
      </c>
      <c r="BO92" t="s">
        <v>74</v>
      </c>
      <c r="BP92" t="s">
        <v>74</v>
      </c>
      <c r="BQ92" t="s">
        <v>74</v>
      </c>
      <c r="BR92" t="s">
        <v>101</v>
      </c>
      <c r="BS92" t="s">
        <v>862</v>
      </c>
      <c r="BT92" t="str">
        <f>HYPERLINK("https%3A%2F%2Fwww.webofscience.com%2Fwos%2Fwoscc%2Ffull-record%2FWOS:000257683100113","View Full Record in Web of Science")</f>
        <v>View Full Record in Web of Science</v>
      </c>
    </row>
    <row r="93" spans="1:72" x14ac:dyDescent="0.15">
      <c r="A93" t="s">
        <v>72</v>
      </c>
      <c r="B93" t="s">
        <v>863</v>
      </c>
      <c r="C93" t="s">
        <v>74</v>
      </c>
      <c r="D93" t="s">
        <v>74</v>
      </c>
      <c r="E93" t="s">
        <v>74</v>
      </c>
      <c r="F93" t="s">
        <v>864</v>
      </c>
      <c r="G93" t="s">
        <v>74</v>
      </c>
      <c r="H93" t="s">
        <v>74</v>
      </c>
      <c r="I93" t="s">
        <v>865</v>
      </c>
      <c r="J93" t="s">
        <v>77</v>
      </c>
      <c r="K93" t="s">
        <v>74</v>
      </c>
      <c r="L93" t="s">
        <v>74</v>
      </c>
      <c r="M93" t="s">
        <v>78</v>
      </c>
      <c r="N93" t="s">
        <v>52</v>
      </c>
      <c r="O93" t="s">
        <v>79</v>
      </c>
      <c r="P93" t="s">
        <v>80</v>
      </c>
      <c r="Q93" t="s">
        <v>81</v>
      </c>
      <c r="R93" t="s">
        <v>74</v>
      </c>
      <c r="S93" t="s">
        <v>82</v>
      </c>
      <c r="T93" t="s">
        <v>74</v>
      </c>
      <c r="U93" t="s">
        <v>74</v>
      </c>
      <c r="V93" t="s">
        <v>74</v>
      </c>
      <c r="W93" t="s">
        <v>866</v>
      </c>
      <c r="X93" t="s">
        <v>867</v>
      </c>
      <c r="Y93" t="s">
        <v>74</v>
      </c>
      <c r="Z93" t="s">
        <v>868</v>
      </c>
      <c r="AA93" t="s">
        <v>74</v>
      </c>
      <c r="AB93" t="s">
        <v>74</v>
      </c>
      <c r="AC93" t="s">
        <v>74</v>
      </c>
      <c r="AD93" t="s">
        <v>74</v>
      </c>
      <c r="AE93" t="s">
        <v>74</v>
      </c>
      <c r="AF93" t="s">
        <v>74</v>
      </c>
      <c r="AG93">
        <v>5</v>
      </c>
      <c r="AH93">
        <v>0</v>
      </c>
      <c r="AI93">
        <v>0</v>
      </c>
      <c r="AJ93">
        <v>0</v>
      </c>
      <c r="AK93">
        <v>2</v>
      </c>
      <c r="AL93" t="s">
        <v>109</v>
      </c>
      <c r="AM93" t="s">
        <v>110</v>
      </c>
      <c r="AN93" t="s">
        <v>111</v>
      </c>
      <c r="AO93" t="s">
        <v>91</v>
      </c>
      <c r="AP93" t="s">
        <v>74</v>
      </c>
      <c r="AQ93" t="s">
        <v>74</v>
      </c>
      <c r="AR93" t="s">
        <v>93</v>
      </c>
      <c r="AS93" t="s">
        <v>94</v>
      </c>
      <c r="AT93" t="s">
        <v>95</v>
      </c>
      <c r="AU93">
        <v>2008</v>
      </c>
      <c r="AV93">
        <v>43</v>
      </c>
      <c r="AW93">
        <v>7</v>
      </c>
      <c r="AX93" t="s">
        <v>74</v>
      </c>
      <c r="AY93" t="s">
        <v>96</v>
      </c>
      <c r="AZ93" t="s">
        <v>74</v>
      </c>
      <c r="BA93" t="s">
        <v>74</v>
      </c>
      <c r="BB93" t="s">
        <v>861</v>
      </c>
      <c r="BC93" t="s">
        <v>861</v>
      </c>
      <c r="BD93" t="s">
        <v>74</v>
      </c>
      <c r="BE93" t="s">
        <v>74</v>
      </c>
      <c r="BF93" t="s">
        <v>74</v>
      </c>
      <c r="BG93" t="s">
        <v>74</v>
      </c>
      <c r="BH93" t="s">
        <v>74</v>
      </c>
      <c r="BI93">
        <v>1</v>
      </c>
      <c r="BJ93" t="s">
        <v>98</v>
      </c>
      <c r="BK93" t="s">
        <v>113</v>
      </c>
      <c r="BL93" t="s">
        <v>98</v>
      </c>
      <c r="BM93" t="s">
        <v>100</v>
      </c>
      <c r="BN93" t="s">
        <v>74</v>
      </c>
      <c r="BO93" t="s">
        <v>74</v>
      </c>
      <c r="BP93" t="s">
        <v>74</v>
      </c>
      <c r="BQ93" t="s">
        <v>74</v>
      </c>
      <c r="BR93" t="s">
        <v>101</v>
      </c>
      <c r="BS93" t="s">
        <v>869</v>
      </c>
      <c r="BT93" t="str">
        <f>HYPERLINK("https%3A%2F%2Fwww.webofscience.com%2Fwos%2Fwoscc%2Ffull-record%2FWOS:000257683100114","View Full Record in Web of Science")</f>
        <v>View Full Record in Web of Science</v>
      </c>
    </row>
    <row r="94" spans="1:72" x14ac:dyDescent="0.15">
      <c r="A94" t="s">
        <v>72</v>
      </c>
      <c r="B94" t="s">
        <v>870</v>
      </c>
      <c r="C94" t="s">
        <v>74</v>
      </c>
      <c r="D94" t="s">
        <v>74</v>
      </c>
      <c r="E94" t="s">
        <v>74</v>
      </c>
      <c r="F94" t="s">
        <v>871</v>
      </c>
      <c r="G94" t="s">
        <v>74</v>
      </c>
      <c r="H94" t="s">
        <v>74</v>
      </c>
      <c r="I94" t="s">
        <v>872</v>
      </c>
      <c r="J94" t="s">
        <v>77</v>
      </c>
      <c r="K94" t="s">
        <v>74</v>
      </c>
      <c r="L94" t="s">
        <v>74</v>
      </c>
      <c r="M94" t="s">
        <v>78</v>
      </c>
      <c r="N94" t="s">
        <v>52</v>
      </c>
      <c r="O94" t="s">
        <v>79</v>
      </c>
      <c r="P94" t="s">
        <v>80</v>
      </c>
      <c r="Q94" t="s">
        <v>81</v>
      </c>
      <c r="R94" t="s">
        <v>74</v>
      </c>
      <c r="S94" t="s">
        <v>82</v>
      </c>
      <c r="T94" t="s">
        <v>74</v>
      </c>
      <c r="U94" t="s">
        <v>74</v>
      </c>
      <c r="V94" t="s">
        <v>74</v>
      </c>
      <c r="W94" t="s">
        <v>873</v>
      </c>
      <c r="X94" t="s">
        <v>874</v>
      </c>
      <c r="Y94" t="s">
        <v>74</v>
      </c>
      <c r="Z94" t="s">
        <v>875</v>
      </c>
      <c r="AA94" t="s">
        <v>876</v>
      </c>
      <c r="AB94" t="s">
        <v>877</v>
      </c>
      <c r="AC94" t="s">
        <v>74</v>
      </c>
      <c r="AD94" t="s">
        <v>74</v>
      </c>
      <c r="AE94" t="s">
        <v>74</v>
      </c>
      <c r="AF94" t="s">
        <v>74</v>
      </c>
      <c r="AG94">
        <v>6</v>
      </c>
      <c r="AH94">
        <v>1</v>
      </c>
      <c r="AI94">
        <v>1</v>
      </c>
      <c r="AJ94">
        <v>0</v>
      </c>
      <c r="AK94">
        <v>0</v>
      </c>
      <c r="AL94" t="s">
        <v>109</v>
      </c>
      <c r="AM94" t="s">
        <v>110</v>
      </c>
      <c r="AN94" t="s">
        <v>111</v>
      </c>
      <c r="AO94" t="s">
        <v>91</v>
      </c>
      <c r="AP94" t="s">
        <v>74</v>
      </c>
      <c r="AQ94" t="s">
        <v>74</v>
      </c>
      <c r="AR94" t="s">
        <v>93</v>
      </c>
      <c r="AS94" t="s">
        <v>94</v>
      </c>
      <c r="AT94" t="s">
        <v>95</v>
      </c>
      <c r="AU94">
        <v>2008</v>
      </c>
      <c r="AV94">
        <v>43</v>
      </c>
      <c r="AW94">
        <v>7</v>
      </c>
      <c r="AX94" t="s">
        <v>74</v>
      </c>
      <c r="AY94" t="s">
        <v>96</v>
      </c>
      <c r="AZ94" t="s">
        <v>74</v>
      </c>
      <c r="BA94" t="s">
        <v>74</v>
      </c>
      <c r="BB94" t="s">
        <v>878</v>
      </c>
      <c r="BC94" t="s">
        <v>878</v>
      </c>
      <c r="BD94" t="s">
        <v>74</v>
      </c>
      <c r="BE94" t="s">
        <v>74</v>
      </c>
      <c r="BF94" t="s">
        <v>74</v>
      </c>
      <c r="BG94" t="s">
        <v>74</v>
      </c>
      <c r="BH94" t="s">
        <v>74</v>
      </c>
      <c r="BI94">
        <v>1</v>
      </c>
      <c r="BJ94" t="s">
        <v>98</v>
      </c>
      <c r="BK94" t="s">
        <v>113</v>
      </c>
      <c r="BL94" t="s">
        <v>98</v>
      </c>
      <c r="BM94" t="s">
        <v>100</v>
      </c>
      <c r="BN94" t="s">
        <v>74</v>
      </c>
      <c r="BO94" t="s">
        <v>74</v>
      </c>
      <c r="BP94" t="s">
        <v>74</v>
      </c>
      <c r="BQ94" t="s">
        <v>74</v>
      </c>
      <c r="BR94" t="s">
        <v>101</v>
      </c>
      <c r="BS94" t="s">
        <v>879</v>
      </c>
      <c r="BT94" t="str">
        <f>HYPERLINK("https%3A%2F%2Fwww.webofscience.com%2Fwos%2Fwoscc%2Ffull-record%2FWOS:000257683100115","View Full Record in Web of Science")</f>
        <v>View Full Record in Web of Science</v>
      </c>
    </row>
    <row r="95" spans="1:72" x14ac:dyDescent="0.15">
      <c r="A95" t="s">
        <v>72</v>
      </c>
      <c r="B95" t="s">
        <v>880</v>
      </c>
      <c r="C95" t="s">
        <v>74</v>
      </c>
      <c r="D95" t="s">
        <v>74</v>
      </c>
      <c r="E95" t="s">
        <v>74</v>
      </c>
      <c r="F95" t="s">
        <v>881</v>
      </c>
      <c r="G95" t="s">
        <v>74</v>
      </c>
      <c r="H95" t="s">
        <v>74</v>
      </c>
      <c r="I95" t="s">
        <v>882</v>
      </c>
      <c r="J95" t="s">
        <v>77</v>
      </c>
      <c r="K95" t="s">
        <v>74</v>
      </c>
      <c r="L95" t="s">
        <v>74</v>
      </c>
      <c r="M95" t="s">
        <v>78</v>
      </c>
      <c r="N95" t="s">
        <v>52</v>
      </c>
      <c r="O95" t="s">
        <v>79</v>
      </c>
      <c r="P95" t="s">
        <v>80</v>
      </c>
      <c r="Q95" t="s">
        <v>81</v>
      </c>
      <c r="R95" t="s">
        <v>74</v>
      </c>
      <c r="S95" t="s">
        <v>82</v>
      </c>
      <c r="T95" t="s">
        <v>74</v>
      </c>
      <c r="U95" t="s">
        <v>883</v>
      </c>
      <c r="V95" t="s">
        <v>74</v>
      </c>
      <c r="W95" t="s">
        <v>884</v>
      </c>
      <c r="X95" t="s">
        <v>885</v>
      </c>
      <c r="Y95" t="s">
        <v>74</v>
      </c>
      <c r="Z95" t="s">
        <v>886</v>
      </c>
      <c r="AA95" t="s">
        <v>74</v>
      </c>
      <c r="AB95" t="s">
        <v>74</v>
      </c>
      <c r="AC95" t="s">
        <v>74</v>
      </c>
      <c r="AD95" t="s">
        <v>74</v>
      </c>
      <c r="AE95" t="s">
        <v>74</v>
      </c>
      <c r="AF95" t="s">
        <v>74</v>
      </c>
      <c r="AG95">
        <v>6</v>
      </c>
      <c r="AH95">
        <v>0</v>
      </c>
      <c r="AI95">
        <v>0</v>
      </c>
      <c r="AJ95">
        <v>0</v>
      </c>
      <c r="AK95">
        <v>1</v>
      </c>
      <c r="AL95" t="s">
        <v>149</v>
      </c>
      <c r="AM95" t="s">
        <v>150</v>
      </c>
      <c r="AN95" t="s">
        <v>151</v>
      </c>
      <c r="AO95" t="s">
        <v>91</v>
      </c>
      <c r="AP95" t="s">
        <v>74</v>
      </c>
      <c r="AQ95" t="s">
        <v>74</v>
      </c>
      <c r="AR95" t="s">
        <v>93</v>
      </c>
      <c r="AS95" t="s">
        <v>94</v>
      </c>
      <c r="AT95" t="s">
        <v>95</v>
      </c>
      <c r="AU95">
        <v>2008</v>
      </c>
      <c r="AV95">
        <v>43</v>
      </c>
      <c r="AW95">
        <v>7</v>
      </c>
      <c r="AX95" t="s">
        <v>74</v>
      </c>
      <c r="AY95" t="s">
        <v>96</v>
      </c>
      <c r="AZ95" t="s">
        <v>74</v>
      </c>
      <c r="BA95" t="s">
        <v>74</v>
      </c>
      <c r="BB95" t="s">
        <v>878</v>
      </c>
      <c r="BC95" t="s">
        <v>878</v>
      </c>
      <c r="BD95" t="s">
        <v>74</v>
      </c>
      <c r="BE95" t="s">
        <v>74</v>
      </c>
      <c r="BF95" t="s">
        <v>74</v>
      </c>
      <c r="BG95" t="s">
        <v>74</v>
      </c>
      <c r="BH95" t="s">
        <v>74</v>
      </c>
      <c r="BI95">
        <v>1</v>
      </c>
      <c r="BJ95" t="s">
        <v>98</v>
      </c>
      <c r="BK95" t="s">
        <v>99</v>
      </c>
      <c r="BL95" t="s">
        <v>98</v>
      </c>
      <c r="BM95" t="s">
        <v>100</v>
      </c>
      <c r="BN95" t="s">
        <v>74</v>
      </c>
      <c r="BO95" t="s">
        <v>74</v>
      </c>
      <c r="BP95" t="s">
        <v>74</v>
      </c>
      <c r="BQ95" t="s">
        <v>74</v>
      </c>
      <c r="BR95" t="s">
        <v>101</v>
      </c>
      <c r="BS95" t="s">
        <v>887</v>
      </c>
      <c r="BT95" t="str">
        <f>HYPERLINK("https%3A%2F%2Fwww.webofscience.com%2Fwos%2Fwoscc%2Ffull-record%2FWOS:000257683100116","View Full Record in Web of Science")</f>
        <v>View Full Record in Web of Science</v>
      </c>
    </row>
    <row r="96" spans="1:72" x14ac:dyDescent="0.15">
      <c r="A96" t="s">
        <v>72</v>
      </c>
      <c r="B96" t="s">
        <v>888</v>
      </c>
      <c r="C96" t="s">
        <v>74</v>
      </c>
      <c r="D96" t="s">
        <v>74</v>
      </c>
      <c r="E96" t="s">
        <v>74</v>
      </c>
      <c r="F96" t="s">
        <v>889</v>
      </c>
      <c r="G96" t="s">
        <v>74</v>
      </c>
      <c r="H96" t="s">
        <v>74</v>
      </c>
      <c r="I96" t="s">
        <v>890</v>
      </c>
      <c r="J96" t="s">
        <v>77</v>
      </c>
      <c r="K96" t="s">
        <v>74</v>
      </c>
      <c r="L96" t="s">
        <v>74</v>
      </c>
      <c r="M96" t="s">
        <v>78</v>
      </c>
      <c r="N96" t="s">
        <v>52</v>
      </c>
      <c r="O96" t="s">
        <v>79</v>
      </c>
      <c r="P96" t="s">
        <v>80</v>
      </c>
      <c r="Q96" t="s">
        <v>81</v>
      </c>
      <c r="R96" t="s">
        <v>74</v>
      </c>
      <c r="S96" t="s">
        <v>82</v>
      </c>
      <c r="T96" t="s">
        <v>74</v>
      </c>
      <c r="U96" t="s">
        <v>891</v>
      </c>
      <c r="V96" t="s">
        <v>74</v>
      </c>
      <c r="W96" t="s">
        <v>892</v>
      </c>
      <c r="X96" t="s">
        <v>893</v>
      </c>
      <c r="Y96" t="s">
        <v>74</v>
      </c>
      <c r="Z96" t="s">
        <v>894</v>
      </c>
      <c r="AA96" t="s">
        <v>895</v>
      </c>
      <c r="AB96" t="s">
        <v>74</v>
      </c>
      <c r="AC96" t="s">
        <v>74</v>
      </c>
      <c r="AD96" t="s">
        <v>74</v>
      </c>
      <c r="AE96" t="s">
        <v>74</v>
      </c>
      <c r="AF96" t="s">
        <v>74</v>
      </c>
      <c r="AG96">
        <v>3</v>
      </c>
      <c r="AH96">
        <v>0</v>
      </c>
      <c r="AI96">
        <v>0</v>
      </c>
      <c r="AJ96">
        <v>0</v>
      </c>
      <c r="AK96">
        <v>1</v>
      </c>
      <c r="AL96" t="s">
        <v>88</v>
      </c>
      <c r="AM96" t="s">
        <v>89</v>
      </c>
      <c r="AN96" t="s">
        <v>90</v>
      </c>
      <c r="AO96" t="s">
        <v>91</v>
      </c>
      <c r="AP96" t="s">
        <v>92</v>
      </c>
      <c r="AQ96" t="s">
        <v>74</v>
      </c>
      <c r="AR96" t="s">
        <v>93</v>
      </c>
      <c r="AS96" t="s">
        <v>94</v>
      </c>
      <c r="AT96" t="s">
        <v>95</v>
      </c>
      <c r="AU96">
        <v>2008</v>
      </c>
      <c r="AV96">
        <v>43</v>
      </c>
      <c r="AW96">
        <v>7</v>
      </c>
      <c r="AX96" t="s">
        <v>74</v>
      </c>
      <c r="AY96" t="s">
        <v>96</v>
      </c>
      <c r="AZ96" t="s">
        <v>74</v>
      </c>
      <c r="BA96" t="s">
        <v>74</v>
      </c>
      <c r="BB96" t="s">
        <v>896</v>
      </c>
      <c r="BC96" t="s">
        <v>896</v>
      </c>
      <c r="BD96" t="s">
        <v>74</v>
      </c>
      <c r="BE96" t="s">
        <v>74</v>
      </c>
      <c r="BF96" t="s">
        <v>74</v>
      </c>
      <c r="BG96" t="s">
        <v>74</v>
      </c>
      <c r="BH96" t="s">
        <v>74</v>
      </c>
      <c r="BI96">
        <v>1</v>
      </c>
      <c r="BJ96" t="s">
        <v>98</v>
      </c>
      <c r="BK96" t="s">
        <v>99</v>
      </c>
      <c r="BL96" t="s">
        <v>98</v>
      </c>
      <c r="BM96" t="s">
        <v>100</v>
      </c>
      <c r="BN96" t="s">
        <v>74</v>
      </c>
      <c r="BO96" t="s">
        <v>74</v>
      </c>
      <c r="BP96" t="s">
        <v>74</v>
      </c>
      <c r="BQ96" t="s">
        <v>74</v>
      </c>
      <c r="BR96" t="s">
        <v>101</v>
      </c>
      <c r="BS96" t="s">
        <v>897</v>
      </c>
      <c r="BT96" t="str">
        <f>HYPERLINK("https%3A%2F%2Fwww.webofscience.com%2Fwos%2Fwoscc%2Ffull-record%2FWOS:000257683100117","View Full Record in Web of Science")</f>
        <v>View Full Record in Web of Science</v>
      </c>
    </row>
    <row r="97" spans="1:72" x14ac:dyDescent="0.15">
      <c r="A97" t="s">
        <v>72</v>
      </c>
      <c r="B97" t="s">
        <v>898</v>
      </c>
      <c r="C97" t="s">
        <v>74</v>
      </c>
      <c r="D97" t="s">
        <v>74</v>
      </c>
      <c r="E97" t="s">
        <v>74</v>
      </c>
      <c r="F97" t="s">
        <v>899</v>
      </c>
      <c r="G97" t="s">
        <v>74</v>
      </c>
      <c r="H97" t="s">
        <v>74</v>
      </c>
      <c r="I97" t="s">
        <v>900</v>
      </c>
      <c r="J97" t="s">
        <v>77</v>
      </c>
      <c r="K97" t="s">
        <v>74</v>
      </c>
      <c r="L97" t="s">
        <v>74</v>
      </c>
      <c r="M97" t="s">
        <v>78</v>
      </c>
      <c r="N97" t="s">
        <v>52</v>
      </c>
      <c r="O97" t="s">
        <v>79</v>
      </c>
      <c r="P97" t="s">
        <v>80</v>
      </c>
      <c r="Q97" t="s">
        <v>81</v>
      </c>
      <c r="R97" t="s">
        <v>74</v>
      </c>
      <c r="S97" t="s">
        <v>82</v>
      </c>
      <c r="T97" t="s">
        <v>74</v>
      </c>
      <c r="U97" t="s">
        <v>901</v>
      </c>
      <c r="V97" t="s">
        <v>74</v>
      </c>
      <c r="W97" t="s">
        <v>902</v>
      </c>
      <c r="X97" t="s">
        <v>903</v>
      </c>
      <c r="Y97" t="s">
        <v>74</v>
      </c>
      <c r="Z97" t="s">
        <v>904</v>
      </c>
      <c r="AA97" t="s">
        <v>905</v>
      </c>
      <c r="AB97" t="s">
        <v>906</v>
      </c>
      <c r="AC97" t="s">
        <v>74</v>
      </c>
      <c r="AD97" t="s">
        <v>74</v>
      </c>
      <c r="AE97" t="s">
        <v>74</v>
      </c>
      <c r="AF97" t="s">
        <v>74</v>
      </c>
      <c r="AG97">
        <v>2</v>
      </c>
      <c r="AH97">
        <v>2</v>
      </c>
      <c r="AI97">
        <v>2</v>
      </c>
      <c r="AJ97">
        <v>0</v>
      </c>
      <c r="AK97">
        <v>0</v>
      </c>
      <c r="AL97" t="s">
        <v>109</v>
      </c>
      <c r="AM97" t="s">
        <v>110</v>
      </c>
      <c r="AN97" t="s">
        <v>111</v>
      </c>
      <c r="AO97" t="s">
        <v>91</v>
      </c>
      <c r="AP97" t="s">
        <v>74</v>
      </c>
      <c r="AQ97" t="s">
        <v>74</v>
      </c>
      <c r="AR97" t="s">
        <v>93</v>
      </c>
      <c r="AS97" t="s">
        <v>94</v>
      </c>
      <c r="AT97" t="s">
        <v>95</v>
      </c>
      <c r="AU97">
        <v>2008</v>
      </c>
      <c r="AV97">
        <v>43</v>
      </c>
      <c r="AW97">
        <v>7</v>
      </c>
      <c r="AX97" t="s">
        <v>74</v>
      </c>
      <c r="AY97" t="s">
        <v>96</v>
      </c>
      <c r="AZ97" t="s">
        <v>74</v>
      </c>
      <c r="BA97" t="s">
        <v>74</v>
      </c>
      <c r="BB97" t="s">
        <v>896</v>
      </c>
      <c r="BC97" t="s">
        <v>896</v>
      </c>
      <c r="BD97" t="s">
        <v>74</v>
      </c>
      <c r="BE97" t="s">
        <v>74</v>
      </c>
      <c r="BF97" t="s">
        <v>74</v>
      </c>
      <c r="BG97" t="s">
        <v>74</v>
      </c>
      <c r="BH97" t="s">
        <v>74</v>
      </c>
      <c r="BI97">
        <v>1</v>
      </c>
      <c r="BJ97" t="s">
        <v>98</v>
      </c>
      <c r="BK97" t="s">
        <v>113</v>
      </c>
      <c r="BL97" t="s">
        <v>98</v>
      </c>
      <c r="BM97" t="s">
        <v>100</v>
      </c>
      <c r="BN97" t="s">
        <v>74</v>
      </c>
      <c r="BO97" t="s">
        <v>74</v>
      </c>
      <c r="BP97" t="s">
        <v>74</v>
      </c>
      <c r="BQ97" t="s">
        <v>74</v>
      </c>
      <c r="BR97" t="s">
        <v>101</v>
      </c>
      <c r="BS97" t="s">
        <v>907</v>
      </c>
      <c r="BT97" t="str">
        <f>HYPERLINK("https%3A%2F%2Fwww.webofscience.com%2Fwos%2Fwoscc%2Ffull-record%2FWOS:000257683100118","View Full Record in Web of Science")</f>
        <v>View Full Record in Web of Science</v>
      </c>
    </row>
    <row r="98" spans="1:72" x14ac:dyDescent="0.15">
      <c r="A98" t="s">
        <v>72</v>
      </c>
      <c r="B98" t="s">
        <v>908</v>
      </c>
      <c r="C98" t="s">
        <v>74</v>
      </c>
      <c r="D98" t="s">
        <v>74</v>
      </c>
      <c r="E98" t="s">
        <v>74</v>
      </c>
      <c r="F98" t="s">
        <v>909</v>
      </c>
      <c r="G98" t="s">
        <v>74</v>
      </c>
      <c r="H98" t="s">
        <v>74</v>
      </c>
      <c r="I98" t="s">
        <v>910</v>
      </c>
      <c r="J98" t="s">
        <v>77</v>
      </c>
      <c r="K98" t="s">
        <v>74</v>
      </c>
      <c r="L98" t="s">
        <v>74</v>
      </c>
      <c r="M98" t="s">
        <v>78</v>
      </c>
      <c r="N98" t="s">
        <v>52</v>
      </c>
      <c r="O98" t="s">
        <v>79</v>
      </c>
      <c r="P98" t="s">
        <v>80</v>
      </c>
      <c r="Q98" t="s">
        <v>81</v>
      </c>
      <c r="R98" t="s">
        <v>74</v>
      </c>
      <c r="S98" t="s">
        <v>82</v>
      </c>
      <c r="T98" t="s">
        <v>74</v>
      </c>
      <c r="U98" t="s">
        <v>74</v>
      </c>
      <c r="V98" t="s">
        <v>74</v>
      </c>
      <c r="W98" t="s">
        <v>911</v>
      </c>
      <c r="X98" t="s">
        <v>912</v>
      </c>
      <c r="Y98" t="s">
        <v>74</v>
      </c>
      <c r="Z98" t="s">
        <v>913</v>
      </c>
      <c r="AA98" t="s">
        <v>914</v>
      </c>
      <c r="AB98" t="s">
        <v>915</v>
      </c>
      <c r="AC98" t="s">
        <v>74</v>
      </c>
      <c r="AD98" t="s">
        <v>74</v>
      </c>
      <c r="AE98" t="s">
        <v>74</v>
      </c>
      <c r="AF98" t="s">
        <v>74</v>
      </c>
      <c r="AG98">
        <v>4</v>
      </c>
      <c r="AH98">
        <v>7</v>
      </c>
      <c r="AI98">
        <v>7</v>
      </c>
      <c r="AJ98">
        <v>0</v>
      </c>
      <c r="AK98">
        <v>3</v>
      </c>
      <c r="AL98" t="s">
        <v>88</v>
      </c>
      <c r="AM98" t="s">
        <v>89</v>
      </c>
      <c r="AN98" t="s">
        <v>90</v>
      </c>
      <c r="AO98" t="s">
        <v>91</v>
      </c>
      <c r="AP98" t="s">
        <v>92</v>
      </c>
      <c r="AQ98" t="s">
        <v>74</v>
      </c>
      <c r="AR98" t="s">
        <v>93</v>
      </c>
      <c r="AS98" t="s">
        <v>94</v>
      </c>
      <c r="AT98" t="s">
        <v>95</v>
      </c>
      <c r="AU98">
        <v>2008</v>
      </c>
      <c r="AV98">
        <v>43</v>
      </c>
      <c r="AW98">
        <v>7</v>
      </c>
      <c r="AX98" t="s">
        <v>74</v>
      </c>
      <c r="AY98" t="s">
        <v>96</v>
      </c>
      <c r="AZ98" t="s">
        <v>74</v>
      </c>
      <c r="BA98" t="s">
        <v>74</v>
      </c>
      <c r="BB98" t="s">
        <v>916</v>
      </c>
      <c r="BC98" t="s">
        <v>916</v>
      </c>
      <c r="BD98" t="s">
        <v>74</v>
      </c>
      <c r="BE98" t="s">
        <v>74</v>
      </c>
      <c r="BF98" t="s">
        <v>74</v>
      </c>
      <c r="BG98" t="s">
        <v>74</v>
      </c>
      <c r="BH98" t="s">
        <v>74</v>
      </c>
      <c r="BI98">
        <v>1</v>
      </c>
      <c r="BJ98" t="s">
        <v>98</v>
      </c>
      <c r="BK98" t="s">
        <v>99</v>
      </c>
      <c r="BL98" t="s">
        <v>98</v>
      </c>
      <c r="BM98" t="s">
        <v>100</v>
      </c>
      <c r="BN98" t="s">
        <v>74</v>
      </c>
      <c r="BO98" t="s">
        <v>74</v>
      </c>
      <c r="BP98" t="s">
        <v>74</v>
      </c>
      <c r="BQ98" t="s">
        <v>74</v>
      </c>
      <c r="BR98" t="s">
        <v>101</v>
      </c>
      <c r="BS98" t="s">
        <v>917</v>
      </c>
      <c r="BT98" t="str">
        <f>HYPERLINK("https%3A%2F%2Fwww.webofscience.com%2Fwos%2Fwoscc%2Ffull-record%2FWOS:000257683100119","View Full Record in Web of Science")</f>
        <v>View Full Record in Web of Science</v>
      </c>
    </row>
    <row r="99" spans="1:72" x14ac:dyDescent="0.15">
      <c r="A99" t="s">
        <v>72</v>
      </c>
      <c r="B99" t="s">
        <v>918</v>
      </c>
      <c r="C99" t="s">
        <v>74</v>
      </c>
      <c r="D99" t="s">
        <v>74</v>
      </c>
      <c r="E99" t="s">
        <v>74</v>
      </c>
      <c r="F99" t="s">
        <v>919</v>
      </c>
      <c r="G99" t="s">
        <v>74</v>
      </c>
      <c r="H99" t="s">
        <v>920</v>
      </c>
      <c r="I99" t="s">
        <v>921</v>
      </c>
      <c r="J99" t="s">
        <v>77</v>
      </c>
      <c r="K99" t="s">
        <v>74</v>
      </c>
      <c r="L99" t="s">
        <v>74</v>
      </c>
      <c r="M99" t="s">
        <v>78</v>
      </c>
      <c r="N99" t="s">
        <v>52</v>
      </c>
      <c r="O99" t="s">
        <v>79</v>
      </c>
      <c r="P99" t="s">
        <v>80</v>
      </c>
      <c r="Q99" t="s">
        <v>81</v>
      </c>
      <c r="R99" t="s">
        <v>74</v>
      </c>
      <c r="S99" t="s">
        <v>82</v>
      </c>
      <c r="T99" t="s">
        <v>74</v>
      </c>
      <c r="U99" t="s">
        <v>74</v>
      </c>
      <c r="V99" t="s">
        <v>74</v>
      </c>
      <c r="W99" t="s">
        <v>74</v>
      </c>
      <c r="X99" t="s">
        <v>74</v>
      </c>
      <c r="Y99" t="s">
        <v>74</v>
      </c>
      <c r="Z99" t="s">
        <v>922</v>
      </c>
      <c r="AA99" t="s">
        <v>74</v>
      </c>
      <c r="AB99" t="s">
        <v>74</v>
      </c>
      <c r="AC99" t="s">
        <v>74</v>
      </c>
      <c r="AD99" t="s">
        <v>74</v>
      </c>
      <c r="AE99" t="s">
        <v>74</v>
      </c>
      <c r="AF99" t="s">
        <v>74</v>
      </c>
      <c r="AG99">
        <v>0</v>
      </c>
      <c r="AH99">
        <v>0</v>
      </c>
      <c r="AI99">
        <v>0</v>
      </c>
      <c r="AJ99">
        <v>0</v>
      </c>
      <c r="AK99">
        <v>0</v>
      </c>
      <c r="AL99" t="s">
        <v>109</v>
      </c>
      <c r="AM99" t="s">
        <v>110</v>
      </c>
      <c r="AN99" t="s">
        <v>111</v>
      </c>
      <c r="AO99" t="s">
        <v>91</v>
      </c>
      <c r="AP99" t="s">
        <v>74</v>
      </c>
      <c r="AQ99" t="s">
        <v>74</v>
      </c>
      <c r="AR99" t="s">
        <v>93</v>
      </c>
      <c r="AS99" t="s">
        <v>94</v>
      </c>
      <c r="AT99" t="s">
        <v>95</v>
      </c>
      <c r="AU99">
        <v>2008</v>
      </c>
      <c r="AV99">
        <v>43</v>
      </c>
      <c r="AW99">
        <v>7</v>
      </c>
      <c r="AX99" t="s">
        <v>74</v>
      </c>
      <c r="AY99" t="s">
        <v>96</v>
      </c>
      <c r="AZ99" t="s">
        <v>74</v>
      </c>
      <c r="BA99" t="s">
        <v>74</v>
      </c>
      <c r="BB99" t="s">
        <v>916</v>
      </c>
      <c r="BC99" t="s">
        <v>916</v>
      </c>
      <c r="BD99" t="s">
        <v>74</v>
      </c>
      <c r="BE99" t="s">
        <v>74</v>
      </c>
      <c r="BF99" t="s">
        <v>74</v>
      </c>
      <c r="BG99" t="s">
        <v>74</v>
      </c>
      <c r="BH99" t="s">
        <v>74</v>
      </c>
      <c r="BI99">
        <v>1</v>
      </c>
      <c r="BJ99" t="s">
        <v>98</v>
      </c>
      <c r="BK99" t="s">
        <v>113</v>
      </c>
      <c r="BL99" t="s">
        <v>98</v>
      </c>
      <c r="BM99" t="s">
        <v>100</v>
      </c>
      <c r="BN99" t="s">
        <v>74</v>
      </c>
      <c r="BO99" t="s">
        <v>74</v>
      </c>
      <c r="BP99" t="s">
        <v>74</v>
      </c>
      <c r="BQ99" t="s">
        <v>74</v>
      </c>
      <c r="BR99" t="s">
        <v>101</v>
      </c>
      <c r="BS99" t="s">
        <v>923</v>
      </c>
      <c r="BT99" t="str">
        <f>HYPERLINK("https%3A%2F%2Fwww.webofscience.com%2Fwos%2Fwoscc%2Ffull-record%2FWOS:000257683100120","View Full Record in Web of Science")</f>
        <v>View Full Record in Web of Science</v>
      </c>
    </row>
    <row r="100" spans="1:72" x14ac:dyDescent="0.15">
      <c r="A100" t="s">
        <v>72</v>
      </c>
      <c r="B100" t="s">
        <v>924</v>
      </c>
      <c r="C100" t="s">
        <v>74</v>
      </c>
      <c r="D100" t="s">
        <v>74</v>
      </c>
      <c r="E100" t="s">
        <v>74</v>
      </c>
      <c r="F100" t="s">
        <v>925</v>
      </c>
      <c r="G100" t="s">
        <v>74</v>
      </c>
      <c r="H100" t="s">
        <v>74</v>
      </c>
      <c r="I100" t="s">
        <v>926</v>
      </c>
      <c r="J100" t="s">
        <v>77</v>
      </c>
      <c r="K100" t="s">
        <v>74</v>
      </c>
      <c r="L100" t="s">
        <v>74</v>
      </c>
      <c r="M100" t="s">
        <v>78</v>
      </c>
      <c r="N100" t="s">
        <v>52</v>
      </c>
      <c r="O100" t="s">
        <v>79</v>
      </c>
      <c r="P100" t="s">
        <v>80</v>
      </c>
      <c r="Q100" t="s">
        <v>81</v>
      </c>
      <c r="R100" t="s">
        <v>74</v>
      </c>
      <c r="S100" t="s">
        <v>82</v>
      </c>
      <c r="T100" t="s">
        <v>74</v>
      </c>
      <c r="U100" t="s">
        <v>74</v>
      </c>
      <c r="V100" t="s">
        <v>74</v>
      </c>
      <c r="W100" t="s">
        <v>927</v>
      </c>
      <c r="X100" t="s">
        <v>928</v>
      </c>
      <c r="Y100" t="s">
        <v>74</v>
      </c>
      <c r="Z100" t="s">
        <v>929</v>
      </c>
      <c r="AA100" t="s">
        <v>74</v>
      </c>
      <c r="AB100" t="s">
        <v>74</v>
      </c>
      <c r="AC100" t="s">
        <v>74</v>
      </c>
      <c r="AD100" t="s">
        <v>74</v>
      </c>
      <c r="AE100" t="s">
        <v>74</v>
      </c>
      <c r="AF100" t="s">
        <v>74</v>
      </c>
      <c r="AG100">
        <v>3</v>
      </c>
      <c r="AH100">
        <v>0</v>
      </c>
      <c r="AI100">
        <v>0</v>
      </c>
      <c r="AJ100">
        <v>0</v>
      </c>
      <c r="AK100">
        <v>0</v>
      </c>
      <c r="AL100" t="s">
        <v>109</v>
      </c>
      <c r="AM100" t="s">
        <v>110</v>
      </c>
      <c r="AN100" t="s">
        <v>111</v>
      </c>
      <c r="AO100" t="s">
        <v>91</v>
      </c>
      <c r="AP100" t="s">
        <v>74</v>
      </c>
      <c r="AQ100" t="s">
        <v>74</v>
      </c>
      <c r="AR100" t="s">
        <v>93</v>
      </c>
      <c r="AS100" t="s">
        <v>94</v>
      </c>
      <c r="AT100" t="s">
        <v>95</v>
      </c>
      <c r="AU100">
        <v>2008</v>
      </c>
      <c r="AV100">
        <v>43</v>
      </c>
      <c r="AW100">
        <v>7</v>
      </c>
      <c r="AX100" t="s">
        <v>74</v>
      </c>
      <c r="AY100" t="s">
        <v>96</v>
      </c>
      <c r="AZ100" t="s">
        <v>74</v>
      </c>
      <c r="BA100" t="s">
        <v>74</v>
      </c>
      <c r="BB100" t="s">
        <v>930</v>
      </c>
      <c r="BC100" t="s">
        <v>930</v>
      </c>
      <c r="BD100" t="s">
        <v>74</v>
      </c>
      <c r="BE100" t="s">
        <v>74</v>
      </c>
      <c r="BF100" t="s">
        <v>74</v>
      </c>
      <c r="BG100" t="s">
        <v>74</v>
      </c>
      <c r="BH100" t="s">
        <v>74</v>
      </c>
      <c r="BI100">
        <v>1</v>
      </c>
      <c r="BJ100" t="s">
        <v>98</v>
      </c>
      <c r="BK100" t="s">
        <v>113</v>
      </c>
      <c r="BL100" t="s">
        <v>98</v>
      </c>
      <c r="BM100" t="s">
        <v>100</v>
      </c>
      <c r="BN100" t="s">
        <v>74</v>
      </c>
      <c r="BO100" t="s">
        <v>74</v>
      </c>
      <c r="BP100" t="s">
        <v>74</v>
      </c>
      <c r="BQ100" t="s">
        <v>74</v>
      </c>
      <c r="BR100" t="s">
        <v>101</v>
      </c>
      <c r="BS100" t="s">
        <v>931</v>
      </c>
      <c r="BT100" t="str">
        <f>HYPERLINK("https%3A%2F%2Fwww.webofscience.com%2Fwos%2Fwoscc%2Ffull-record%2FWOS:000257683100121","View Full Record in Web of Science")</f>
        <v>View Full Record in Web of Science</v>
      </c>
    </row>
    <row r="101" spans="1:72" x14ac:dyDescent="0.15">
      <c r="A101" t="s">
        <v>72</v>
      </c>
      <c r="B101" t="s">
        <v>932</v>
      </c>
      <c r="C101" t="s">
        <v>74</v>
      </c>
      <c r="D101" t="s">
        <v>74</v>
      </c>
      <c r="E101" t="s">
        <v>74</v>
      </c>
      <c r="F101" t="s">
        <v>933</v>
      </c>
      <c r="G101" t="s">
        <v>74</v>
      </c>
      <c r="H101" t="s">
        <v>74</v>
      </c>
      <c r="I101" t="s">
        <v>934</v>
      </c>
      <c r="J101" t="s">
        <v>77</v>
      </c>
      <c r="K101" t="s">
        <v>74</v>
      </c>
      <c r="L101" t="s">
        <v>74</v>
      </c>
      <c r="M101" t="s">
        <v>78</v>
      </c>
      <c r="N101" t="s">
        <v>52</v>
      </c>
      <c r="O101" t="s">
        <v>79</v>
      </c>
      <c r="P101" t="s">
        <v>80</v>
      </c>
      <c r="Q101" t="s">
        <v>81</v>
      </c>
      <c r="R101" t="s">
        <v>74</v>
      </c>
      <c r="S101" t="s">
        <v>82</v>
      </c>
      <c r="T101" t="s">
        <v>74</v>
      </c>
      <c r="U101" t="s">
        <v>74</v>
      </c>
      <c r="V101" t="s">
        <v>74</v>
      </c>
      <c r="W101" t="s">
        <v>935</v>
      </c>
      <c r="X101" t="s">
        <v>936</v>
      </c>
      <c r="Y101" t="s">
        <v>74</v>
      </c>
      <c r="Z101" t="s">
        <v>937</v>
      </c>
      <c r="AA101" t="s">
        <v>938</v>
      </c>
      <c r="AB101" t="s">
        <v>74</v>
      </c>
      <c r="AC101" t="s">
        <v>74</v>
      </c>
      <c r="AD101" t="s">
        <v>74</v>
      </c>
      <c r="AE101" t="s">
        <v>74</v>
      </c>
      <c r="AF101" t="s">
        <v>74</v>
      </c>
      <c r="AG101">
        <v>2</v>
      </c>
      <c r="AH101">
        <v>0</v>
      </c>
      <c r="AI101">
        <v>0</v>
      </c>
      <c r="AJ101">
        <v>0</v>
      </c>
      <c r="AK101">
        <v>0</v>
      </c>
      <c r="AL101" t="s">
        <v>149</v>
      </c>
      <c r="AM101" t="s">
        <v>89</v>
      </c>
      <c r="AN101" t="s">
        <v>90</v>
      </c>
      <c r="AO101" t="s">
        <v>91</v>
      </c>
      <c r="AP101" t="s">
        <v>74</v>
      </c>
      <c r="AQ101" t="s">
        <v>74</v>
      </c>
      <c r="AR101" t="s">
        <v>93</v>
      </c>
      <c r="AS101" t="s">
        <v>94</v>
      </c>
      <c r="AT101" t="s">
        <v>95</v>
      </c>
      <c r="AU101">
        <v>2008</v>
      </c>
      <c r="AV101">
        <v>43</v>
      </c>
      <c r="AW101">
        <v>7</v>
      </c>
      <c r="AX101" t="s">
        <v>74</v>
      </c>
      <c r="AY101" t="s">
        <v>96</v>
      </c>
      <c r="AZ101" t="s">
        <v>74</v>
      </c>
      <c r="BA101" t="s">
        <v>74</v>
      </c>
      <c r="BB101" t="s">
        <v>930</v>
      </c>
      <c r="BC101" t="s">
        <v>930</v>
      </c>
      <c r="BD101" t="s">
        <v>74</v>
      </c>
      <c r="BE101" t="s">
        <v>74</v>
      </c>
      <c r="BF101" t="s">
        <v>74</v>
      </c>
      <c r="BG101" t="s">
        <v>74</v>
      </c>
      <c r="BH101" t="s">
        <v>74</v>
      </c>
      <c r="BI101">
        <v>1</v>
      </c>
      <c r="BJ101" t="s">
        <v>98</v>
      </c>
      <c r="BK101" t="s">
        <v>99</v>
      </c>
      <c r="BL101" t="s">
        <v>98</v>
      </c>
      <c r="BM101" t="s">
        <v>100</v>
      </c>
      <c r="BN101" t="s">
        <v>74</v>
      </c>
      <c r="BO101" t="s">
        <v>74</v>
      </c>
      <c r="BP101" t="s">
        <v>74</v>
      </c>
      <c r="BQ101" t="s">
        <v>74</v>
      </c>
      <c r="BR101" t="s">
        <v>101</v>
      </c>
      <c r="BS101" t="s">
        <v>939</v>
      </c>
      <c r="BT101" t="str">
        <f>HYPERLINK("https%3A%2F%2Fwww.webofscience.com%2Fwos%2Fwoscc%2Ffull-record%2FWOS:000257683100122","View Full Record in Web of Science")</f>
        <v>View Full Record in Web of Science</v>
      </c>
    </row>
    <row r="102" spans="1:72" x14ac:dyDescent="0.15">
      <c r="A102" t="s">
        <v>72</v>
      </c>
      <c r="B102" t="s">
        <v>940</v>
      </c>
      <c r="C102" t="s">
        <v>74</v>
      </c>
      <c r="D102" t="s">
        <v>74</v>
      </c>
      <c r="E102" t="s">
        <v>74</v>
      </c>
      <c r="F102" t="s">
        <v>941</v>
      </c>
      <c r="G102" t="s">
        <v>74</v>
      </c>
      <c r="H102" t="s">
        <v>74</v>
      </c>
      <c r="I102" t="s">
        <v>942</v>
      </c>
      <c r="J102" t="s">
        <v>77</v>
      </c>
      <c r="K102" t="s">
        <v>74</v>
      </c>
      <c r="L102" t="s">
        <v>74</v>
      </c>
      <c r="M102" t="s">
        <v>78</v>
      </c>
      <c r="N102" t="s">
        <v>52</v>
      </c>
      <c r="O102" t="s">
        <v>79</v>
      </c>
      <c r="P102" t="s">
        <v>80</v>
      </c>
      <c r="Q102" t="s">
        <v>81</v>
      </c>
      <c r="R102" t="s">
        <v>74</v>
      </c>
      <c r="S102" t="s">
        <v>82</v>
      </c>
      <c r="T102" t="s">
        <v>74</v>
      </c>
      <c r="U102" t="s">
        <v>74</v>
      </c>
      <c r="V102" t="s">
        <v>74</v>
      </c>
      <c r="W102" t="s">
        <v>943</v>
      </c>
      <c r="X102" t="s">
        <v>944</v>
      </c>
      <c r="Y102" t="s">
        <v>74</v>
      </c>
      <c r="Z102" t="s">
        <v>945</v>
      </c>
      <c r="AA102" t="s">
        <v>946</v>
      </c>
      <c r="AB102" t="s">
        <v>74</v>
      </c>
      <c r="AC102" t="s">
        <v>74</v>
      </c>
      <c r="AD102" t="s">
        <v>74</v>
      </c>
      <c r="AE102" t="s">
        <v>74</v>
      </c>
      <c r="AF102" t="s">
        <v>74</v>
      </c>
      <c r="AG102">
        <v>5</v>
      </c>
      <c r="AH102">
        <v>0</v>
      </c>
      <c r="AI102">
        <v>0</v>
      </c>
      <c r="AJ102">
        <v>0</v>
      </c>
      <c r="AK102">
        <v>4</v>
      </c>
      <c r="AL102" t="s">
        <v>88</v>
      </c>
      <c r="AM102" t="s">
        <v>89</v>
      </c>
      <c r="AN102" t="s">
        <v>90</v>
      </c>
      <c r="AO102" t="s">
        <v>91</v>
      </c>
      <c r="AP102" t="s">
        <v>92</v>
      </c>
      <c r="AQ102" t="s">
        <v>74</v>
      </c>
      <c r="AR102" t="s">
        <v>93</v>
      </c>
      <c r="AS102" t="s">
        <v>94</v>
      </c>
      <c r="AT102" t="s">
        <v>95</v>
      </c>
      <c r="AU102">
        <v>2008</v>
      </c>
      <c r="AV102">
        <v>43</v>
      </c>
      <c r="AW102">
        <v>7</v>
      </c>
      <c r="AX102" t="s">
        <v>74</v>
      </c>
      <c r="AY102" t="s">
        <v>96</v>
      </c>
      <c r="AZ102" t="s">
        <v>74</v>
      </c>
      <c r="BA102" t="s">
        <v>74</v>
      </c>
      <c r="BB102" t="s">
        <v>947</v>
      </c>
      <c r="BC102" t="s">
        <v>947</v>
      </c>
      <c r="BD102" t="s">
        <v>74</v>
      </c>
      <c r="BE102" t="s">
        <v>74</v>
      </c>
      <c r="BF102" t="s">
        <v>74</v>
      </c>
      <c r="BG102" t="s">
        <v>74</v>
      </c>
      <c r="BH102" t="s">
        <v>74</v>
      </c>
      <c r="BI102">
        <v>1</v>
      </c>
      <c r="BJ102" t="s">
        <v>98</v>
      </c>
      <c r="BK102" t="s">
        <v>99</v>
      </c>
      <c r="BL102" t="s">
        <v>98</v>
      </c>
      <c r="BM102" t="s">
        <v>100</v>
      </c>
      <c r="BN102" t="s">
        <v>74</v>
      </c>
      <c r="BO102" t="s">
        <v>74</v>
      </c>
      <c r="BP102" t="s">
        <v>74</v>
      </c>
      <c r="BQ102" t="s">
        <v>74</v>
      </c>
      <c r="BR102" t="s">
        <v>101</v>
      </c>
      <c r="BS102" t="s">
        <v>948</v>
      </c>
      <c r="BT102" t="str">
        <f>HYPERLINK("https%3A%2F%2Fwww.webofscience.com%2Fwos%2Fwoscc%2Ffull-record%2FWOS:000257683100123","View Full Record in Web of Science")</f>
        <v>View Full Record in Web of Science</v>
      </c>
    </row>
    <row r="103" spans="1:72" x14ac:dyDescent="0.15">
      <c r="A103" t="s">
        <v>72</v>
      </c>
      <c r="B103" t="s">
        <v>949</v>
      </c>
      <c r="C103" t="s">
        <v>74</v>
      </c>
      <c r="D103" t="s">
        <v>74</v>
      </c>
      <c r="E103" t="s">
        <v>74</v>
      </c>
      <c r="F103" t="s">
        <v>950</v>
      </c>
      <c r="G103" t="s">
        <v>74</v>
      </c>
      <c r="H103" t="s">
        <v>74</v>
      </c>
      <c r="I103" t="s">
        <v>951</v>
      </c>
      <c r="J103" t="s">
        <v>77</v>
      </c>
      <c r="K103" t="s">
        <v>74</v>
      </c>
      <c r="L103" t="s">
        <v>74</v>
      </c>
      <c r="M103" t="s">
        <v>78</v>
      </c>
      <c r="N103" t="s">
        <v>52</v>
      </c>
      <c r="O103" t="s">
        <v>79</v>
      </c>
      <c r="P103" t="s">
        <v>80</v>
      </c>
      <c r="Q103" t="s">
        <v>81</v>
      </c>
      <c r="R103" t="s">
        <v>74</v>
      </c>
      <c r="S103" t="s">
        <v>82</v>
      </c>
      <c r="T103" t="s">
        <v>74</v>
      </c>
      <c r="U103" t="s">
        <v>74</v>
      </c>
      <c r="V103" t="s">
        <v>74</v>
      </c>
      <c r="W103" t="s">
        <v>952</v>
      </c>
      <c r="X103" t="s">
        <v>403</v>
      </c>
      <c r="Y103" t="s">
        <v>74</v>
      </c>
      <c r="Z103" t="s">
        <v>953</v>
      </c>
      <c r="AA103" t="s">
        <v>74</v>
      </c>
      <c r="AB103" t="s">
        <v>74</v>
      </c>
      <c r="AC103" t="s">
        <v>74</v>
      </c>
      <c r="AD103" t="s">
        <v>74</v>
      </c>
      <c r="AE103" t="s">
        <v>74</v>
      </c>
      <c r="AF103" t="s">
        <v>74</v>
      </c>
      <c r="AG103">
        <v>5</v>
      </c>
      <c r="AH103">
        <v>1</v>
      </c>
      <c r="AI103">
        <v>1</v>
      </c>
      <c r="AJ103">
        <v>0</v>
      </c>
      <c r="AK103">
        <v>0</v>
      </c>
      <c r="AL103" t="s">
        <v>109</v>
      </c>
      <c r="AM103" t="s">
        <v>110</v>
      </c>
      <c r="AN103" t="s">
        <v>111</v>
      </c>
      <c r="AO103" t="s">
        <v>91</v>
      </c>
      <c r="AP103" t="s">
        <v>74</v>
      </c>
      <c r="AQ103" t="s">
        <v>74</v>
      </c>
      <c r="AR103" t="s">
        <v>93</v>
      </c>
      <c r="AS103" t="s">
        <v>94</v>
      </c>
      <c r="AT103" t="s">
        <v>95</v>
      </c>
      <c r="AU103">
        <v>2008</v>
      </c>
      <c r="AV103">
        <v>43</v>
      </c>
      <c r="AW103">
        <v>7</v>
      </c>
      <c r="AX103" t="s">
        <v>74</v>
      </c>
      <c r="AY103" t="s">
        <v>96</v>
      </c>
      <c r="AZ103" t="s">
        <v>74</v>
      </c>
      <c r="BA103" t="s">
        <v>74</v>
      </c>
      <c r="BB103" t="s">
        <v>954</v>
      </c>
      <c r="BC103" t="s">
        <v>954</v>
      </c>
      <c r="BD103" t="s">
        <v>74</v>
      </c>
      <c r="BE103" t="s">
        <v>74</v>
      </c>
      <c r="BF103" t="s">
        <v>74</v>
      </c>
      <c r="BG103" t="s">
        <v>74</v>
      </c>
      <c r="BH103" t="s">
        <v>74</v>
      </c>
      <c r="BI103">
        <v>1</v>
      </c>
      <c r="BJ103" t="s">
        <v>98</v>
      </c>
      <c r="BK103" t="s">
        <v>113</v>
      </c>
      <c r="BL103" t="s">
        <v>98</v>
      </c>
      <c r="BM103" t="s">
        <v>100</v>
      </c>
      <c r="BN103" t="s">
        <v>74</v>
      </c>
      <c r="BO103" t="s">
        <v>74</v>
      </c>
      <c r="BP103" t="s">
        <v>74</v>
      </c>
      <c r="BQ103" t="s">
        <v>74</v>
      </c>
      <c r="BR103" t="s">
        <v>101</v>
      </c>
      <c r="BS103" t="s">
        <v>955</v>
      </c>
      <c r="BT103" t="str">
        <f>HYPERLINK("https%3A%2F%2Fwww.webofscience.com%2Fwos%2Fwoscc%2Ffull-record%2FWOS:000257683100125","View Full Record in Web of Science")</f>
        <v>View Full Record in Web of Science</v>
      </c>
    </row>
    <row r="104" spans="1:72" x14ac:dyDescent="0.15">
      <c r="A104" t="s">
        <v>72</v>
      </c>
      <c r="B104" t="s">
        <v>956</v>
      </c>
      <c r="C104" t="s">
        <v>74</v>
      </c>
      <c r="D104" t="s">
        <v>74</v>
      </c>
      <c r="E104" t="s">
        <v>74</v>
      </c>
      <c r="F104" t="s">
        <v>957</v>
      </c>
      <c r="G104" t="s">
        <v>74</v>
      </c>
      <c r="H104" t="s">
        <v>74</v>
      </c>
      <c r="I104" t="s">
        <v>958</v>
      </c>
      <c r="J104" t="s">
        <v>77</v>
      </c>
      <c r="K104" t="s">
        <v>74</v>
      </c>
      <c r="L104" t="s">
        <v>74</v>
      </c>
      <c r="M104" t="s">
        <v>78</v>
      </c>
      <c r="N104" t="s">
        <v>52</v>
      </c>
      <c r="O104" t="s">
        <v>79</v>
      </c>
      <c r="P104" t="s">
        <v>80</v>
      </c>
      <c r="Q104" t="s">
        <v>81</v>
      </c>
      <c r="R104" t="s">
        <v>74</v>
      </c>
      <c r="S104" t="s">
        <v>82</v>
      </c>
      <c r="T104" t="s">
        <v>74</v>
      </c>
      <c r="U104" t="s">
        <v>74</v>
      </c>
      <c r="V104" t="s">
        <v>74</v>
      </c>
      <c r="W104" t="s">
        <v>959</v>
      </c>
      <c r="X104" t="s">
        <v>960</v>
      </c>
      <c r="Y104" t="s">
        <v>74</v>
      </c>
      <c r="Z104" t="s">
        <v>953</v>
      </c>
      <c r="AA104" t="s">
        <v>74</v>
      </c>
      <c r="AB104" t="s">
        <v>74</v>
      </c>
      <c r="AC104" t="s">
        <v>74</v>
      </c>
      <c r="AD104" t="s">
        <v>74</v>
      </c>
      <c r="AE104" t="s">
        <v>74</v>
      </c>
      <c r="AF104" t="s">
        <v>74</v>
      </c>
      <c r="AG104">
        <v>4</v>
      </c>
      <c r="AH104">
        <v>0</v>
      </c>
      <c r="AI104">
        <v>0</v>
      </c>
      <c r="AJ104">
        <v>0</v>
      </c>
      <c r="AK104">
        <v>1</v>
      </c>
      <c r="AL104" t="s">
        <v>149</v>
      </c>
      <c r="AM104" t="s">
        <v>150</v>
      </c>
      <c r="AN104" t="s">
        <v>151</v>
      </c>
      <c r="AO104" t="s">
        <v>91</v>
      </c>
      <c r="AP104" t="s">
        <v>74</v>
      </c>
      <c r="AQ104" t="s">
        <v>74</v>
      </c>
      <c r="AR104" t="s">
        <v>93</v>
      </c>
      <c r="AS104" t="s">
        <v>94</v>
      </c>
      <c r="AT104" t="s">
        <v>95</v>
      </c>
      <c r="AU104">
        <v>2008</v>
      </c>
      <c r="AV104">
        <v>43</v>
      </c>
      <c r="AW104">
        <v>7</v>
      </c>
      <c r="AX104" t="s">
        <v>74</v>
      </c>
      <c r="AY104" t="s">
        <v>96</v>
      </c>
      <c r="AZ104" t="s">
        <v>74</v>
      </c>
      <c r="BA104" t="s">
        <v>74</v>
      </c>
      <c r="BB104" t="s">
        <v>947</v>
      </c>
      <c r="BC104" t="s">
        <v>947</v>
      </c>
      <c r="BD104" t="s">
        <v>74</v>
      </c>
      <c r="BE104" t="s">
        <v>74</v>
      </c>
      <c r="BF104" t="s">
        <v>74</v>
      </c>
      <c r="BG104" t="s">
        <v>74</v>
      </c>
      <c r="BH104" t="s">
        <v>74</v>
      </c>
      <c r="BI104">
        <v>1</v>
      </c>
      <c r="BJ104" t="s">
        <v>98</v>
      </c>
      <c r="BK104" t="s">
        <v>99</v>
      </c>
      <c r="BL104" t="s">
        <v>98</v>
      </c>
      <c r="BM104" t="s">
        <v>100</v>
      </c>
      <c r="BN104" t="s">
        <v>74</v>
      </c>
      <c r="BO104" t="s">
        <v>74</v>
      </c>
      <c r="BP104" t="s">
        <v>74</v>
      </c>
      <c r="BQ104" t="s">
        <v>74</v>
      </c>
      <c r="BR104" t="s">
        <v>101</v>
      </c>
      <c r="BS104" t="s">
        <v>961</v>
      </c>
      <c r="BT104" t="str">
        <f>HYPERLINK("https%3A%2F%2Fwww.webofscience.com%2Fwos%2Fwoscc%2Ffull-record%2FWOS:000257683100124","View Full Record in Web of Science")</f>
        <v>View Full Record in Web of Science</v>
      </c>
    </row>
    <row r="105" spans="1:72" x14ac:dyDescent="0.15">
      <c r="A105" t="s">
        <v>72</v>
      </c>
      <c r="B105" t="s">
        <v>962</v>
      </c>
      <c r="C105" t="s">
        <v>74</v>
      </c>
      <c r="D105" t="s">
        <v>74</v>
      </c>
      <c r="E105" t="s">
        <v>74</v>
      </c>
      <c r="F105" t="s">
        <v>963</v>
      </c>
      <c r="G105" t="s">
        <v>74</v>
      </c>
      <c r="H105" t="s">
        <v>74</v>
      </c>
      <c r="I105" t="s">
        <v>964</v>
      </c>
      <c r="J105" t="s">
        <v>77</v>
      </c>
      <c r="K105" t="s">
        <v>74</v>
      </c>
      <c r="L105" t="s">
        <v>74</v>
      </c>
      <c r="M105" t="s">
        <v>78</v>
      </c>
      <c r="N105" t="s">
        <v>52</v>
      </c>
      <c r="O105" t="s">
        <v>79</v>
      </c>
      <c r="P105" t="s">
        <v>80</v>
      </c>
      <c r="Q105" t="s">
        <v>81</v>
      </c>
      <c r="R105" t="s">
        <v>74</v>
      </c>
      <c r="S105" t="s">
        <v>82</v>
      </c>
      <c r="T105" t="s">
        <v>74</v>
      </c>
      <c r="U105" t="s">
        <v>965</v>
      </c>
      <c r="V105" t="s">
        <v>74</v>
      </c>
      <c r="W105" t="s">
        <v>966</v>
      </c>
      <c r="X105" t="s">
        <v>967</v>
      </c>
      <c r="Y105" t="s">
        <v>74</v>
      </c>
      <c r="Z105" t="s">
        <v>968</v>
      </c>
      <c r="AA105" t="s">
        <v>74</v>
      </c>
      <c r="AB105" t="s">
        <v>74</v>
      </c>
      <c r="AC105" t="s">
        <v>74</v>
      </c>
      <c r="AD105" t="s">
        <v>74</v>
      </c>
      <c r="AE105" t="s">
        <v>74</v>
      </c>
      <c r="AF105" t="s">
        <v>74</v>
      </c>
      <c r="AG105">
        <v>9</v>
      </c>
      <c r="AH105">
        <v>0</v>
      </c>
      <c r="AI105">
        <v>0</v>
      </c>
      <c r="AJ105">
        <v>0</v>
      </c>
      <c r="AK105">
        <v>0</v>
      </c>
      <c r="AL105" t="s">
        <v>109</v>
      </c>
      <c r="AM105" t="s">
        <v>110</v>
      </c>
      <c r="AN105" t="s">
        <v>111</v>
      </c>
      <c r="AO105" t="s">
        <v>91</v>
      </c>
      <c r="AP105" t="s">
        <v>74</v>
      </c>
      <c r="AQ105" t="s">
        <v>74</v>
      </c>
      <c r="AR105" t="s">
        <v>93</v>
      </c>
      <c r="AS105" t="s">
        <v>94</v>
      </c>
      <c r="AT105" t="s">
        <v>95</v>
      </c>
      <c r="AU105">
        <v>2008</v>
      </c>
      <c r="AV105">
        <v>43</v>
      </c>
      <c r="AW105">
        <v>7</v>
      </c>
      <c r="AX105" t="s">
        <v>74</v>
      </c>
      <c r="AY105" t="s">
        <v>96</v>
      </c>
      <c r="AZ105" t="s">
        <v>74</v>
      </c>
      <c r="BA105" t="s">
        <v>74</v>
      </c>
      <c r="BB105" t="s">
        <v>954</v>
      </c>
      <c r="BC105" t="s">
        <v>954</v>
      </c>
      <c r="BD105" t="s">
        <v>74</v>
      </c>
      <c r="BE105" t="s">
        <v>74</v>
      </c>
      <c r="BF105" t="s">
        <v>74</v>
      </c>
      <c r="BG105" t="s">
        <v>74</v>
      </c>
      <c r="BH105" t="s">
        <v>74</v>
      </c>
      <c r="BI105">
        <v>1</v>
      </c>
      <c r="BJ105" t="s">
        <v>98</v>
      </c>
      <c r="BK105" t="s">
        <v>113</v>
      </c>
      <c r="BL105" t="s">
        <v>98</v>
      </c>
      <c r="BM105" t="s">
        <v>100</v>
      </c>
      <c r="BN105" t="s">
        <v>74</v>
      </c>
      <c r="BO105" t="s">
        <v>74</v>
      </c>
      <c r="BP105" t="s">
        <v>74</v>
      </c>
      <c r="BQ105" t="s">
        <v>74</v>
      </c>
      <c r="BR105" t="s">
        <v>101</v>
      </c>
      <c r="BS105" t="s">
        <v>969</v>
      </c>
      <c r="BT105" t="str">
        <f>HYPERLINK("https%3A%2F%2Fwww.webofscience.com%2Fwos%2Fwoscc%2Ffull-record%2FWOS:000257683100126","View Full Record in Web of Science")</f>
        <v>View Full Record in Web of Science</v>
      </c>
    </row>
    <row r="106" spans="1:72" x14ac:dyDescent="0.15">
      <c r="A106" t="s">
        <v>72</v>
      </c>
      <c r="B106" t="s">
        <v>970</v>
      </c>
      <c r="C106" t="s">
        <v>74</v>
      </c>
      <c r="D106" t="s">
        <v>74</v>
      </c>
      <c r="E106" t="s">
        <v>74</v>
      </c>
      <c r="F106" t="s">
        <v>971</v>
      </c>
      <c r="G106" t="s">
        <v>74</v>
      </c>
      <c r="H106" t="s">
        <v>74</v>
      </c>
      <c r="I106" t="s">
        <v>972</v>
      </c>
      <c r="J106" t="s">
        <v>77</v>
      </c>
      <c r="K106" t="s">
        <v>74</v>
      </c>
      <c r="L106" t="s">
        <v>74</v>
      </c>
      <c r="M106" t="s">
        <v>78</v>
      </c>
      <c r="N106" t="s">
        <v>52</v>
      </c>
      <c r="O106" t="s">
        <v>79</v>
      </c>
      <c r="P106" t="s">
        <v>80</v>
      </c>
      <c r="Q106" t="s">
        <v>81</v>
      </c>
      <c r="R106" t="s">
        <v>74</v>
      </c>
      <c r="S106" t="s">
        <v>82</v>
      </c>
      <c r="T106" t="s">
        <v>74</v>
      </c>
      <c r="U106" t="s">
        <v>74</v>
      </c>
      <c r="V106" t="s">
        <v>74</v>
      </c>
      <c r="W106" t="s">
        <v>973</v>
      </c>
      <c r="X106" t="s">
        <v>974</v>
      </c>
      <c r="Y106" t="s">
        <v>74</v>
      </c>
      <c r="Z106" t="s">
        <v>975</v>
      </c>
      <c r="AA106" t="s">
        <v>74</v>
      </c>
      <c r="AB106" t="s">
        <v>74</v>
      </c>
      <c r="AC106" t="s">
        <v>74</v>
      </c>
      <c r="AD106" t="s">
        <v>74</v>
      </c>
      <c r="AE106" t="s">
        <v>74</v>
      </c>
      <c r="AF106" t="s">
        <v>74</v>
      </c>
      <c r="AG106">
        <v>3</v>
      </c>
      <c r="AH106">
        <v>0</v>
      </c>
      <c r="AI106">
        <v>0</v>
      </c>
      <c r="AJ106">
        <v>0</v>
      </c>
      <c r="AK106">
        <v>0</v>
      </c>
      <c r="AL106" t="s">
        <v>88</v>
      </c>
      <c r="AM106" t="s">
        <v>89</v>
      </c>
      <c r="AN106" t="s">
        <v>90</v>
      </c>
      <c r="AO106" t="s">
        <v>91</v>
      </c>
      <c r="AP106" t="s">
        <v>92</v>
      </c>
      <c r="AQ106" t="s">
        <v>74</v>
      </c>
      <c r="AR106" t="s">
        <v>93</v>
      </c>
      <c r="AS106" t="s">
        <v>94</v>
      </c>
      <c r="AT106" t="s">
        <v>95</v>
      </c>
      <c r="AU106">
        <v>2008</v>
      </c>
      <c r="AV106">
        <v>43</v>
      </c>
      <c r="AW106">
        <v>7</v>
      </c>
      <c r="AX106" t="s">
        <v>74</v>
      </c>
      <c r="AY106" t="s">
        <v>96</v>
      </c>
      <c r="AZ106" t="s">
        <v>74</v>
      </c>
      <c r="BA106" t="s">
        <v>74</v>
      </c>
      <c r="BB106" t="s">
        <v>976</v>
      </c>
      <c r="BC106" t="s">
        <v>976</v>
      </c>
      <c r="BD106" t="s">
        <v>74</v>
      </c>
      <c r="BE106" t="s">
        <v>74</v>
      </c>
      <c r="BF106" t="s">
        <v>74</v>
      </c>
      <c r="BG106" t="s">
        <v>74</v>
      </c>
      <c r="BH106" t="s">
        <v>74</v>
      </c>
      <c r="BI106">
        <v>1</v>
      </c>
      <c r="BJ106" t="s">
        <v>98</v>
      </c>
      <c r="BK106" t="s">
        <v>99</v>
      </c>
      <c r="BL106" t="s">
        <v>98</v>
      </c>
      <c r="BM106" t="s">
        <v>100</v>
      </c>
      <c r="BN106" t="s">
        <v>74</v>
      </c>
      <c r="BO106" t="s">
        <v>74</v>
      </c>
      <c r="BP106" t="s">
        <v>74</v>
      </c>
      <c r="BQ106" t="s">
        <v>74</v>
      </c>
      <c r="BR106" t="s">
        <v>101</v>
      </c>
      <c r="BS106" t="s">
        <v>977</v>
      </c>
      <c r="BT106" t="str">
        <f>HYPERLINK("https%3A%2F%2Fwww.webofscience.com%2Fwos%2Fwoscc%2Ffull-record%2FWOS:000257683100344","View Full Record in Web of Science")</f>
        <v>View Full Record in Web of Science</v>
      </c>
    </row>
    <row r="107" spans="1:72" x14ac:dyDescent="0.15">
      <c r="A107" t="s">
        <v>72</v>
      </c>
      <c r="B107" t="s">
        <v>978</v>
      </c>
      <c r="C107" t="s">
        <v>74</v>
      </c>
      <c r="D107" t="s">
        <v>74</v>
      </c>
      <c r="E107" t="s">
        <v>74</v>
      </c>
      <c r="F107" t="s">
        <v>979</v>
      </c>
      <c r="G107" t="s">
        <v>74</v>
      </c>
      <c r="H107" t="s">
        <v>74</v>
      </c>
      <c r="I107" t="s">
        <v>980</v>
      </c>
      <c r="J107" t="s">
        <v>77</v>
      </c>
      <c r="K107" t="s">
        <v>74</v>
      </c>
      <c r="L107" t="s">
        <v>74</v>
      </c>
      <c r="M107" t="s">
        <v>78</v>
      </c>
      <c r="N107" t="s">
        <v>52</v>
      </c>
      <c r="O107" t="s">
        <v>79</v>
      </c>
      <c r="P107" t="s">
        <v>80</v>
      </c>
      <c r="Q107" t="s">
        <v>81</v>
      </c>
      <c r="R107" t="s">
        <v>74</v>
      </c>
      <c r="S107" t="s">
        <v>82</v>
      </c>
      <c r="T107" t="s">
        <v>74</v>
      </c>
      <c r="U107" t="s">
        <v>157</v>
      </c>
      <c r="V107" t="s">
        <v>74</v>
      </c>
      <c r="W107" t="s">
        <v>981</v>
      </c>
      <c r="X107" t="s">
        <v>982</v>
      </c>
      <c r="Y107" t="s">
        <v>74</v>
      </c>
      <c r="Z107" t="s">
        <v>975</v>
      </c>
      <c r="AA107" t="s">
        <v>983</v>
      </c>
      <c r="AB107" t="s">
        <v>984</v>
      </c>
      <c r="AC107" t="s">
        <v>74</v>
      </c>
      <c r="AD107" t="s">
        <v>74</v>
      </c>
      <c r="AE107" t="s">
        <v>74</v>
      </c>
      <c r="AF107" t="s">
        <v>74</v>
      </c>
      <c r="AG107">
        <v>8</v>
      </c>
      <c r="AH107">
        <v>0</v>
      </c>
      <c r="AI107">
        <v>0</v>
      </c>
      <c r="AJ107">
        <v>0</v>
      </c>
      <c r="AK107">
        <v>1</v>
      </c>
      <c r="AL107" t="s">
        <v>88</v>
      </c>
      <c r="AM107" t="s">
        <v>89</v>
      </c>
      <c r="AN107" t="s">
        <v>90</v>
      </c>
      <c r="AO107" t="s">
        <v>91</v>
      </c>
      <c r="AP107" t="s">
        <v>92</v>
      </c>
      <c r="AQ107" t="s">
        <v>74</v>
      </c>
      <c r="AR107" t="s">
        <v>93</v>
      </c>
      <c r="AS107" t="s">
        <v>94</v>
      </c>
      <c r="AT107" t="s">
        <v>95</v>
      </c>
      <c r="AU107">
        <v>2008</v>
      </c>
      <c r="AV107">
        <v>43</v>
      </c>
      <c r="AW107">
        <v>7</v>
      </c>
      <c r="AX107" t="s">
        <v>74</v>
      </c>
      <c r="AY107" t="s">
        <v>96</v>
      </c>
      <c r="AZ107" t="s">
        <v>74</v>
      </c>
      <c r="BA107" t="s">
        <v>74</v>
      </c>
      <c r="BB107" t="s">
        <v>985</v>
      </c>
      <c r="BC107" t="s">
        <v>985</v>
      </c>
      <c r="BD107" t="s">
        <v>74</v>
      </c>
      <c r="BE107" t="s">
        <v>74</v>
      </c>
      <c r="BF107" t="s">
        <v>74</v>
      </c>
      <c r="BG107" t="s">
        <v>74</v>
      </c>
      <c r="BH107" t="s">
        <v>74</v>
      </c>
      <c r="BI107">
        <v>1</v>
      </c>
      <c r="BJ107" t="s">
        <v>98</v>
      </c>
      <c r="BK107" t="s">
        <v>99</v>
      </c>
      <c r="BL107" t="s">
        <v>98</v>
      </c>
      <c r="BM107" t="s">
        <v>100</v>
      </c>
      <c r="BN107" t="s">
        <v>74</v>
      </c>
      <c r="BO107" t="s">
        <v>74</v>
      </c>
      <c r="BP107" t="s">
        <v>74</v>
      </c>
      <c r="BQ107" t="s">
        <v>74</v>
      </c>
      <c r="BR107" t="s">
        <v>101</v>
      </c>
      <c r="BS107" t="s">
        <v>986</v>
      </c>
      <c r="BT107" t="str">
        <f>HYPERLINK("https%3A%2F%2Fwww.webofscience.com%2Fwos%2Fwoscc%2Ffull-record%2FWOS:000257683100127","View Full Record in Web of Science")</f>
        <v>View Full Record in Web of Science</v>
      </c>
    </row>
    <row r="108" spans="1:72" x14ac:dyDescent="0.15">
      <c r="A108" t="s">
        <v>72</v>
      </c>
      <c r="B108" t="s">
        <v>987</v>
      </c>
      <c r="C108" t="s">
        <v>74</v>
      </c>
      <c r="D108" t="s">
        <v>74</v>
      </c>
      <c r="E108" t="s">
        <v>74</v>
      </c>
      <c r="F108" t="s">
        <v>988</v>
      </c>
      <c r="G108" t="s">
        <v>74</v>
      </c>
      <c r="H108" t="s">
        <v>74</v>
      </c>
      <c r="I108" t="s">
        <v>989</v>
      </c>
      <c r="J108" t="s">
        <v>77</v>
      </c>
      <c r="K108" t="s">
        <v>74</v>
      </c>
      <c r="L108" t="s">
        <v>74</v>
      </c>
      <c r="M108" t="s">
        <v>78</v>
      </c>
      <c r="N108" t="s">
        <v>52</v>
      </c>
      <c r="O108" t="s">
        <v>79</v>
      </c>
      <c r="P108" t="s">
        <v>80</v>
      </c>
      <c r="Q108" t="s">
        <v>81</v>
      </c>
      <c r="R108" t="s">
        <v>74</v>
      </c>
      <c r="S108" t="s">
        <v>82</v>
      </c>
      <c r="T108" t="s">
        <v>74</v>
      </c>
      <c r="U108" t="s">
        <v>990</v>
      </c>
      <c r="V108" t="s">
        <v>74</v>
      </c>
      <c r="W108" t="s">
        <v>991</v>
      </c>
      <c r="X108" t="s">
        <v>992</v>
      </c>
      <c r="Y108" t="s">
        <v>74</v>
      </c>
      <c r="Z108" t="s">
        <v>975</v>
      </c>
      <c r="AA108" t="s">
        <v>993</v>
      </c>
      <c r="AB108" t="s">
        <v>994</v>
      </c>
      <c r="AC108" t="s">
        <v>74</v>
      </c>
      <c r="AD108" t="s">
        <v>74</v>
      </c>
      <c r="AE108" t="s">
        <v>74</v>
      </c>
      <c r="AF108" t="s">
        <v>74</v>
      </c>
      <c r="AG108">
        <v>8</v>
      </c>
      <c r="AH108">
        <v>0</v>
      </c>
      <c r="AI108">
        <v>0</v>
      </c>
      <c r="AJ108">
        <v>0</v>
      </c>
      <c r="AK108">
        <v>1</v>
      </c>
      <c r="AL108" t="s">
        <v>88</v>
      </c>
      <c r="AM108" t="s">
        <v>89</v>
      </c>
      <c r="AN108" t="s">
        <v>90</v>
      </c>
      <c r="AO108" t="s">
        <v>91</v>
      </c>
      <c r="AP108" t="s">
        <v>92</v>
      </c>
      <c r="AQ108" t="s">
        <v>74</v>
      </c>
      <c r="AR108" t="s">
        <v>93</v>
      </c>
      <c r="AS108" t="s">
        <v>94</v>
      </c>
      <c r="AT108" t="s">
        <v>95</v>
      </c>
      <c r="AU108">
        <v>2008</v>
      </c>
      <c r="AV108">
        <v>43</v>
      </c>
      <c r="AW108">
        <v>7</v>
      </c>
      <c r="AX108" t="s">
        <v>74</v>
      </c>
      <c r="AY108" t="s">
        <v>96</v>
      </c>
      <c r="AZ108" t="s">
        <v>74</v>
      </c>
      <c r="BA108" t="s">
        <v>74</v>
      </c>
      <c r="BB108" t="s">
        <v>985</v>
      </c>
      <c r="BC108" t="s">
        <v>985</v>
      </c>
      <c r="BD108" t="s">
        <v>74</v>
      </c>
      <c r="BE108" t="s">
        <v>74</v>
      </c>
      <c r="BF108" t="s">
        <v>74</v>
      </c>
      <c r="BG108" t="s">
        <v>74</v>
      </c>
      <c r="BH108" t="s">
        <v>74</v>
      </c>
      <c r="BI108">
        <v>1</v>
      </c>
      <c r="BJ108" t="s">
        <v>98</v>
      </c>
      <c r="BK108" t="s">
        <v>99</v>
      </c>
      <c r="BL108" t="s">
        <v>98</v>
      </c>
      <c r="BM108" t="s">
        <v>100</v>
      </c>
      <c r="BN108" t="s">
        <v>74</v>
      </c>
      <c r="BO108" t="s">
        <v>74</v>
      </c>
      <c r="BP108" t="s">
        <v>74</v>
      </c>
      <c r="BQ108" t="s">
        <v>74</v>
      </c>
      <c r="BR108" t="s">
        <v>101</v>
      </c>
      <c r="BS108" t="s">
        <v>995</v>
      </c>
      <c r="BT108" t="str">
        <f>HYPERLINK("https%3A%2F%2Fwww.webofscience.com%2Fwos%2Fwoscc%2Ffull-record%2FWOS:000257683100128","View Full Record in Web of Science")</f>
        <v>View Full Record in Web of Science</v>
      </c>
    </row>
    <row r="109" spans="1:72" x14ac:dyDescent="0.15">
      <c r="A109" t="s">
        <v>72</v>
      </c>
      <c r="B109" t="s">
        <v>996</v>
      </c>
      <c r="C109" t="s">
        <v>74</v>
      </c>
      <c r="D109" t="s">
        <v>74</v>
      </c>
      <c r="E109" t="s">
        <v>74</v>
      </c>
      <c r="F109" t="s">
        <v>997</v>
      </c>
      <c r="G109" t="s">
        <v>74</v>
      </c>
      <c r="H109" t="s">
        <v>74</v>
      </c>
      <c r="I109" t="s">
        <v>998</v>
      </c>
      <c r="J109" t="s">
        <v>77</v>
      </c>
      <c r="K109" t="s">
        <v>74</v>
      </c>
      <c r="L109" t="s">
        <v>74</v>
      </c>
      <c r="M109" t="s">
        <v>78</v>
      </c>
      <c r="N109" t="s">
        <v>52</v>
      </c>
      <c r="O109" t="s">
        <v>79</v>
      </c>
      <c r="P109" t="s">
        <v>80</v>
      </c>
      <c r="Q109" t="s">
        <v>81</v>
      </c>
      <c r="R109" t="s">
        <v>74</v>
      </c>
      <c r="S109" t="s">
        <v>82</v>
      </c>
      <c r="T109" t="s">
        <v>74</v>
      </c>
      <c r="U109" t="s">
        <v>999</v>
      </c>
      <c r="V109" t="s">
        <v>74</v>
      </c>
      <c r="W109" t="s">
        <v>1000</v>
      </c>
      <c r="X109" t="s">
        <v>1001</v>
      </c>
      <c r="Y109" t="s">
        <v>74</v>
      </c>
      <c r="Z109" t="s">
        <v>1002</v>
      </c>
      <c r="AA109" t="s">
        <v>1003</v>
      </c>
      <c r="AB109" t="s">
        <v>1004</v>
      </c>
      <c r="AC109" t="s">
        <v>74</v>
      </c>
      <c r="AD109" t="s">
        <v>74</v>
      </c>
      <c r="AE109" t="s">
        <v>74</v>
      </c>
      <c r="AF109" t="s">
        <v>74</v>
      </c>
      <c r="AG109">
        <v>10</v>
      </c>
      <c r="AH109">
        <v>0</v>
      </c>
      <c r="AI109">
        <v>0</v>
      </c>
      <c r="AJ109">
        <v>1</v>
      </c>
      <c r="AK109">
        <v>2</v>
      </c>
      <c r="AL109" t="s">
        <v>109</v>
      </c>
      <c r="AM109" t="s">
        <v>110</v>
      </c>
      <c r="AN109" t="s">
        <v>111</v>
      </c>
      <c r="AO109" t="s">
        <v>91</v>
      </c>
      <c r="AP109" t="s">
        <v>74</v>
      </c>
      <c r="AQ109" t="s">
        <v>74</v>
      </c>
      <c r="AR109" t="s">
        <v>93</v>
      </c>
      <c r="AS109" t="s">
        <v>94</v>
      </c>
      <c r="AT109" t="s">
        <v>95</v>
      </c>
      <c r="AU109">
        <v>2008</v>
      </c>
      <c r="AV109">
        <v>43</v>
      </c>
      <c r="AW109">
        <v>7</v>
      </c>
      <c r="AX109" t="s">
        <v>74</v>
      </c>
      <c r="AY109" t="s">
        <v>96</v>
      </c>
      <c r="AZ109" t="s">
        <v>74</v>
      </c>
      <c r="BA109" t="s">
        <v>74</v>
      </c>
      <c r="BB109" t="s">
        <v>1005</v>
      </c>
      <c r="BC109" t="s">
        <v>1005</v>
      </c>
      <c r="BD109" t="s">
        <v>74</v>
      </c>
      <c r="BE109" t="s">
        <v>74</v>
      </c>
      <c r="BF109" t="s">
        <v>74</v>
      </c>
      <c r="BG109" t="s">
        <v>74</v>
      </c>
      <c r="BH109" t="s">
        <v>74</v>
      </c>
      <c r="BI109">
        <v>1</v>
      </c>
      <c r="BJ109" t="s">
        <v>98</v>
      </c>
      <c r="BK109" t="s">
        <v>113</v>
      </c>
      <c r="BL109" t="s">
        <v>98</v>
      </c>
      <c r="BM109" t="s">
        <v>100</v>
      </c>
      <c r="BN109" t="s">
        <v>74</v>
      </c>
      <c r="BO109" t="s">
        <v>74</v>
      </c>
      <c r="BP109" t="s">
        <v>74</v>
      </c>
      <c r="BQ109" t="s">
        <v>74</v>
      </c>
      <c r="BR109" t="s">
        <v>101</v>
      </c>
      <c r="BS109" t="s">
        <v>1006</v>
      </c>
      <c r="BT109" t="str">
        <f>HYPERLINK("https%3A%2F%2Fwww.webofscience.com%2Fwos%2Fwoscc%2Ffull-record%2FWOS:000257683100129","View Full Record in Web of Science")</f>
        <v>View Full Record in Web of Science</v>
      </c>
    </row>
    <row r="110" spans="1:72" x14ac:dyDescent="0.15">
      <c r="A110" t="s">
        <v>72</v>
      </c>
      <c r="B110" t="s">
        <v>1007</v>
      </c>
      <c r="C110" t="s">
        <v>74</v>
      </c>
      <c r="D110" t="s">
        <v>74</v>
      </c>
      <c r="E110" t="s">
        <v>74</v>
      </c>
      <c r="F110" t="s">
        <v>1008</v>
      </c>
      <c r="G110" t="s">
        <v>74</v>
      </c>
      <c r="H110" t="s">
        <v>74</v>
      </c>
      <c r="I110" t="s">
        <v>1009</v>
      </c>
      <c r="J110" t="s">
        <v>77</v>
      </c>
      <c r="K110" t="s">
        <v>74</v>
      </c>
      <c r="L110" t="s">
        <v>74</v>
      </c>
      <c r="M110" t="s">
        <v>78</v>
      </c>
      <c r="N110" t="s">
        <v>52</v>
      </c>
      <c r="O110" t="s">
        <v>79</v>
      </c>
      <c r="P110" t="s">
        <v>80</v>
      </c>
      <c r="Q110" t="s">
        <v>81</v>
      </c>
      <c r="R110" t="s">
        <v>74</v>
      </c>
      <c r="S110" t="s">
        <v>82</v>
      </c>
      <c r="T110" t="s">
        <v>74</v>
      </c>
      <c r="U110" t="s">
        <v>1010</v>
      </c>
      <c r="V110" t="s">
        <v>74</v>
      </c>
      <c r="W110" t="s">
        <v>1011</v>
      </c>
      <c r="X110" t="s">
        <v>595</v>
      </c>
      <c r="Y110" t="s">
        <v>74</v>
      </c>
      <c r="Z110" t="s">
        <v>1012</v>
      </c>
      <c r="AA110" t="s">
        <v>74</v>
      </c>
      <c r="AB110" t="s">
        <v>74</v>
      </c>
      <c r="AC110" t="s">
        <v>74</v>
      </c>
      <c r="AD110" t="s">
        <v>74</v>
      </c>
      <c r="AE110" t="s">
        <v>74</v>
      </c>
      <c r="AF110" t="s">
        <v>74</v>
      </c>
      <c r="AG110">
        <v>5</v>
      </c>
      <c r="AH110">
        <v>1</v>
      </c>
      <c r="AI110">
        <v>1</v>
      </c>
      <c r="AJ110">
        <v>0</v>
      </c>
      <c r="AK110">
        <v>0</v>
      </c>
      <c r="AL110" t="s">
        <v>149</v>
      </c>
      <c r="AM110" t="s">
        <v>150</v>
      </c>
      <c r="AN110" t="s">
        <v>151</v>
      </c>
      <c r="AO110" t="s">
        <v>91</v>
      </c>
      <c r="AP110" t="s">
        <v>74</v>
      </c>
      <c r="AQ110" t="s">
        <v>74</v>
      </c>
      <c r="AR110" t="s">
        <v>93</v>
      </c>
      <c r="AS110" t="s">
        <v>94</v>
      </c>
      <c r="AT110" t="s">
        <v>95</v>
      </c>
      <c r="AU110">
        <v>2008</v>
      </c>
      <c r="AV110">
        <v>43</v>
      </c>
      <c r="AW110">
        <v>7</v>
      </c>
      <c r="AX110" t="s">
        <v>74</v>
      </c>
      <c r="AY110" t="s">
        <v>96</v>
      </c>
      <c r="AZ110" t="s">
        <v>74</v>
      </c>
      <c r="BA110" t="s">
        <v>74</v>
      </c>
      <c r="BB110" t="s">
        <v>1005</v>
      </c>
      <c r="BC110" t="s">
        <v>1005</v>
      </c>
      <c r="BD110" t="s">
        <v>74</v>
      </c>
      <c r="BE110" t="s">
        <v>74</v>
      </c>
      <c r="BF110" t="s">
        <v>74</v>
      </c>
      <c r="BG110" t="s">
        <v>74</v>
      </c>
      <c r="BH110" t="s">
        <v>74</v>
      </c>
      <c r="BI110">
        <v>1</v>
      </c>
      <c r="BJ110" t="s">
        <v>98</v>
      </c>
      <c r="BK110" t="s">
        <v>99</v>
      </c>
      <c r="BL110" t="s">
        <v>98</v>
      </c>
      <c r="BM110" t="s">
        <v>100</v>
      </c>
      <c r="BN110" t="s">
        <v>74</v>
      </c>
      <c r="BO110" t="s">
        <v>74</v>
      </c>
      <c r="BP110" t="s">
        <v>74</v>
      </c>
      <c r="BQ110" t="s">
        <v>74</v>
      </c>
      <c r="BR110" t="s">
        <v>101</v>
      </c>
      <c r="BS110" t="s">
        <v>1013</v>
      </c>
      <c r="BT110" t="str">
        <f>HYPERLINK("https%3A%2F%2Fwww.webofscience.com%2Fwos%2Fwoscc%2Ffull-record%2FWOS:000257683100130","View Full Record in Web of Science")</f>
        <v>View Full Record in Web of Science</v>
      </c>
    </row>
    <row r="111" spans="1:72" x14ac:dyDescent="0.15">
      <c r="A111" t="s">
        <v>72</v>
      </c>
      <c r="B111" t="s">
        <v>1014</v>
      </c>
      <c r="C111" t="s">
        <v>74</v>
      </c>
      <c r="D111" t="s">
        <v>74</v>
      </c>
      <c r="E111" t="s">
        <v>74</v>
      </c>
      <c r="F111" t="s">
        <v>1015</v>
      </c>
      <c r="G111" t="s">
        <v>74</v>
      </c>
      <c r="H111" t="s">
        <v>74</v>
      </c>
      <c r="I111" t="s">
        <v>1016</v>
      </c>
      <c r="J111" t="s">
        <v>77</v>
      </c>
      <c r="K111" t="s">
        <v>74</v>
      </c>
      <c r="L111" t="s">
        <v>74</v>
      </c>
      <c r="M111" t="s">
        <v>78</v>
      </c>
      <c r="N111" t="s">
        <v>52</v>
      </c>
      <c r="O111" t="s">
        <v>79</v>
      </c>
      <c r="P111" t="s">
        <v>80</v>
      </c>
      <c r="Q111" t="s">
        <v>81</v>
      </c>
      <c r="R111" t="s">
        <v>74</v>
      </c>
      <c r="S111" t="s">
        <v>82</v>
      </c>
      <c r="T111" t="s">
        <v>74</v>
      </c>
      <c r="U111" t="s">
        <v>74</v>
      </c>
      <c r="V111" t="s">
        <v>74</v>
      </c>
      <c r="W111" t="s">
        <v>1017</v>
      </c>
      <c r="X111" t="s">
        <v>1018</v>
      </c>
      <c r="Y111" t="s">
        <v>74</v>
      </c>
      <c r="Z111" t="s">
        <v>1019</v>
      </c>
      <c r="AA111" t="s">
        <v>1020</v>
      </c>
      <c r="AB111" t="s">
        <v>1021</v>
      </c>
      <c r="AC111" t="s">
        <v>74</v>
      </c>
      <c r="AD111" t="s">
        <v>74</v>
      </c>
      <c r="AE111" t="s">
        <v>74</v>
      </c>
      <c r="AF111" t="s">
        <v>74</v>
      </c>
      <c r="AG111">
        <v>7</v>
      </c>
      <c r="AH111">
        <v>2</v>
      </c>
      <c r="AI111">
        <v>2</v>
      </c>
      <c r="AJ111">
        <v>0</v>
      </c>
      <c r="AK111">
        <v>0</v>
      </c>
      <c r="AL111" t="s">
        <v>88</v>
      </c>
      <c r="AM111" t="s">
        <v>89</v>
      </c>
      <c r="AN111" t="s">
        <v>90</v>
      </c>
      <c r="AO111" t="s">
        <v>91</v>
      </c>
      <c r="AP111" t="s">
        <v>92</v>
      </c>
      <c r="AQ111" t="s">
        <v>74</v>
      </c>
      <c r="AR111" t="s">
        <v>93</v>
      </c>
      <c r="AS111" t="s">
        <v>94</v>
      </c>
      <c r="AT111" t="s">
        <v>95</v>
      </c>
      <c r="AU111">
        <v>2008</v>
      </c>
      <c r="AV111">
        <v>43</v>
      </c>
      <c r="AW111">
        <v>7</v>
      </c>
      <c r="AX111" t="s">
        <v>74</v>
      </c>
      <c r="AY111" t="s">
        <v>96</v>
      </c>
      <c r="AZ111" t="s">
        <v>74</v>
      </c>
      <c r="BA111" t="s">
        <v>74</v>
      </c>
      <c r="BB111" t="s">
        <v>1022</v>
      </c>
      <c r="BC111" t="s">
        <v>1022</v>
      </c>
      <c r="BD111" t="s">
        <v>74</v>
      </c>
      <c r="BE111" t="s">
        <v>74</v>
      </c>
      <c r="BF111" t="s">
        <v>74</v>
      </c>
      <c r="BG111" t="s">
        <v>74</v>
      </c>
      <c r="BH111" t="s">
        <v>74</v>
      </c>
      <c r="BI111">
        <v>1</v>
      </c>
      <c r="BJ111" t="s">
        <v>98</v>
      </c>
      <c r="BK111" t="s">
        <v>99</v>
      </c>
      <c r="BL111" t="s">
        <v>98</v>
      </c>
      <c r="BM111" t="s">
        <v>100</v>
      </c>
      <c r="BN111" t="s">
        <v>74</v>
      </c>
      <c r="BO111" t="s">
        <v>74</v>
      </c>
      <c r="BP111" t="s">
        <v>74</v>
      </c>
      <c r="BQ111" t="s">
        <v>74</v>
      </c>
      <c r="BR111" t="s">
        <v>101</v>
      </c>
      <c r="BS111" t="s">
        <v>1023</v>
      </c>
      <c r="BT111" t="str">
        <f>HYPERLINK("https%3A%2F%2Fwww.webofscience.com%2Fwos%2Fwoscc%2Ffull-record%2FWOS:000257683100131","View Full Record in Web of Science")</f>
        <v>View Full Record in Web of Science</v>
      </c>
    </row>
    <row r="112" spans="1:72" x14ac:dyDescent="0.15">
      <c r="A112" t="s">
        <v>72</v>
      </c>
      <c r="B112" t="s">
        <v>1024</v>
      </c>
      <c r="C112" t="s">
        <v>74</v>
      </c>
      <c r="D112" t="s">
        <v>74</v>
      </c>
      <c r="E112" t="s">
        <v>74</v>
      </c>
      <c r="F112" t="s">
        <v>1025</v>
      </c>
      <c r="G112" t="s">
        <v>74</v>
      </c>
      <c r="H112" t="s">
        <v>74</v>
      </c>
      <c r="I112" t="s">
        <v>1026</v>
      </c>
      <c r="J112" t="s">
        <v>77</v>
      </c>
      <c r="K112" t="s">
        <v>74</v>
      </c>
      <c r="L112" t="s">
        <v>74</v>
      </c>
      <c r="M112" t="s">
        <v>78</v>
      </c>
      <c r="N112" t="s">
        <v>52</v>
      </c>
      <c r="O112" t="s">
        <v>79</v>
      </c>
      <c r="P112" t="s">
        <v>80</v>
      </c>
      <c r="Q112" t="s">
        <v>81</v>
      </c>
      <c r="R112" t="s">
        <v>74</v>
      </c>
      <c r="S112" t="s">
        <v>82</v>
      </c>
      <c r="T112" t="s">
        <v>74</v>
      </c>
      <c r="U112" t="s">
        <v>74</v>
      </c>
      <c r="V112" t="s">
        <v>74</v>
      </c>
      <c r="W112" t="s">
        <v>1027</v>
      </c>
      <c r="X112" t="s">
        <v>1028</v>
      </c>
      <c r="Y112" t="s">
        <v>74</v>
      </c>
      <c r="Z112" t="s">
        <v>1029</v>
      </c>
      <c r="AA112" t="s">
        <v>74</v>
      </c>
      <c r="AB112" t="s">
        <v>74</v>
      </c>
      <c r="AC112" t="s">
        <v>74</v>
      </c>
      <c r="AD112" t="s">
        <v>74</v>
      </c>
      <c r="AE112" t="s">
        <v>74</v>
      </c>
      <c r="AF112" t="s">
        <v>74</v>
      </c>
      <c r="AG112">
        <v>3</v>
      </c>
      <c r="AH112">
        <v>0</v>
      </c>
      <c r="AI112">
        <v>0</v>
      </c>
      <c r="AJ112">
        <v>0</v>
      </c>
      <c r="AK112">
        <v>0</v>
      </c>
      <c r="AL112" t="s">
        <v>109</v>
      </c>
      <c r="AM112" t="s">
        <v>110</v>
      </c>
      <c r="AN112" t="s">
        <v>111</v>
      </c>
      <c r="AO112" t="s">
        <v>91</v>
      </c>
      <c r="AP112" t="s">
        <v>74</v>
      </c>
      <c r="AQ112" t="s">
        <v>74</v>
      </c>
      <c r="AR112" t="s">
        <v>93</v>
      </c>
      <c r="AS112" t="s">
        <v>94</v>
      </c>
      <c r="AT112" t="s">
        <v>95</v>
      </c>
      <c r="AU112">
        <v>2008</v>
      </c>
      <c r="AV112">
        <v>43</v>
      </c>
      <c r="AW112">
        <v>7</v>
      </c>
      <c r="AX112" t="s">
        <v>74</v>
      </c>
      <c r="AY112" t="s">
        <v>96</v>
      </c>
      <c r="AZ112" t="s">
        <v>74</v>
      </c>
      <c r="BA112" t="s">
        <v>74</v>
      </c>
      <c r="BB112" t="s">
        <v>1022</v>
      </c>
      <c r="BC112" t="s">
        <v>1022</v>
      </c>
      <c r="BD112" t="s">
        <v>74</v>
      </c>
      <c r="BE112" t="s">
        <v>74</v>
      </c>
      <c r="BF112" t="s">
        <v>74</v>
      </c>
      <c r="BG112" t="s">
        <v>74</v>
      </c>
      <c r="BH112" t="s">
        <v>74</v>
      </c>
      <c r="BI112">
        <v>1</v>
      </c>
      <c r="BJ112" t="s">
        <v>98</v>
      </c>
      <c r="BK112" t="s">
        <v>113</v>
      </c>
      <c r="BL112" t="s">
        <v>98</v>
      </c>
      <c r="BM112" t="s">
        <v>100</v>
      </c>
      <c r="BN112" t="s">
        <v>74</v>
      </c>
      <c r="BO112" t="s">
        <v>74</v>
      </c>
      <c r="BP112" t="s">
        <v>74</v>
      </c>
      <c r="BQ112" t="s">
        <v>74</v>
      </c>
      <c r="BR112" t="s">
        <v>101</v>
      </c>
      <c r="BS112" t="s">
        <v>1030</v>
      </c>
      <c r="BT112" t="str">
        <f>HYPERLINK("https%3A%2F%2Fwww.webofscience.com%2Fwos%2Fwoscc%2Ffull-record%2FWOS:000257683100132","View Full Record in Web of Science")</f>
        <v>View Full Record in Web of Science</v>
      </c>
    </row>
    <row r="113" spans="1:72" x14ac:dyDescent="0.15">
      <c r="A113" t="s">
        <v>72</v>
      </c>
      <c r="B113" t="s">
        <v>1031</v>
      </c>
      <c r="C113" t="s">
        <v>74</v>
      </c>
      <c r="D113" t="s">
        <v>74</v>
      </c>
      <c r="E113" t="s">
        <v>74</v>
      </c>
      <c r="F113" t="s">
        <v>1032</v>
      </c>
      <c r="G113" t="s">
        <v>74</v>
      </c>
      <c r="H113" t="s">
        <v>74</v>
      </c>
      <c r="I113" t="s">
        <v>1033</v>
      </c>
      <c r="J113" t="s">
        <v>77</v>
      </c>
      <c r="K113" t="s">
        <v>74</v>
      </c>
      <c r="L113" t="s">
        <v>74</v>
      </c>
      <c r="M113" t="s">
        <v>78</v>
      </c>
      <c r="N113" t="s">
        <v>52</v>
      </c>
      <c r="O113" t="s">
        <v>79</v>
      </c>
      <c r="P113" t="s">
        <v>80</v>
      </c>
      <c r="Q113" t="s">
        <v>81</v>
      </c>
      <c r="R113" t="s">
        <v>74</v>
      </c>
      <c r="S113" t="s">
        <v>82</v>
      </c>
      <c r="T113" t="s">
        <v>74</v>
      </c>
      <c r="U113" t="s">
        <v>74</v>
      </c>
      <c r="V113" t="s">
        <v>74</v>
      </c>
      <c r="W113" t="s">
        <v>1034</v>
      </c>
      <c r="X113" t="s">
        <v>1035</v>
      </c>
      <c r="Y113" t="s">
        <v>74</v>
      </c>
      <c r="Z113" t="s">
        <v>1036</v>
      </c>
      <c r="AA113" t="s">
        <v>74</v>
      </c>
      <c r="AB113" t="s">
        <v>74</v>
      </c>
      <c r="AC113" t="s">
        <v>74</v>
      </c>
      <c r="AD113" t="s">
        <v>74</v>
      </c>
      <c r="AE113" t="s">
        <v>74</v>
      </c>
      <c r="AF113" t="s">
        <v>74</v>
      </c>
      <c r="AG113">
        <v>6</v>
      </c>
      <c r="AH113">
        <v>0</v>
      </c>
      <c r="AI113">
        <v>0</v>
      </c>
      <c r="AJ113">
        <v>0</v>
      </c>
      <c r="AK113">
        <v>0</v>
      </c>
      <c r="AL113" t="s">
        <v>88</v>
      </c>
      <c r="AM113" t="s">
        <v>89</v>
      </c>
      <c r="AN113" t="s">
        <v>90</v>
      </c>
      <c r="AO113" t="s">
        <v>91</v>
      </c>
      <c r="AP113" t="s">
        <v>92</v>
      </c>
      <c r="AQ113" t="s">
        <v>74</v>
      </c>
      <c r="AR113" t="s">
        <v>93</v>
      </c>
      <c r="AS113" t="s">
        <v>94</v>
      </c>
      <c r="AT113" t="s">
        <v>95</v>
      </c>
      <c r="AU113">
        <v>2008</v>
      </c>
      <c r="AV113">
        <v>43</v>
      </c>
      <c r="AW113">
        <v>7</v>
      </c>
      <c r="AX113" t="s">
        <v>74</v>
      </c>
      <c r="AY113" t="s">
        <v>96</v>
      </c>
      <c r="AZ113" t="s">
        <v>74</v>
      </c>
      <c r="BA113" t="s">
        <v>74</v>
      </c>
      <c r="BB113" t="s">
        <v>1037</v>
      </c>
      <c r="BC113" t="s">
        <v>1037</v>
      </c>
      <c r="BD113" t="s">
        <v>74</v>
      </c>
      <c r="BE113" t="s">
        <v>74</v>
      </c>
      <c r="BF113" t="s">
        <v>74</v>
      </c>
      <c r="BG113" t="s">
        <v>74</v>
      </c>
      <c r="BH113" t="s">
        <v>74</v>
      </c>
      <c r="BI113">
        <v>1</v>
      </c>
      <c r="BJ113" t="s">
        <v>98</v>
      </c>
      <c r="BK113" t="s">
        <v>99</v>
      </c>
      <c r="BL113" t="s">
        <v>98</v>
      </c>
      <c r="BM113" t="s">
        <v>100</v>
      </c>
      <c r="BN113" t="s">
        <v>74</v>
      </c>
      <c r="BO113" t="s">
        <v>74</v>
      </c>
      <c r="BP113" t="s">
        <v>74</v>
      </c>
      <c r="BQ113" t="s">
        <v>74</v>
      </c>
      <c r="BR113" t="s">
        <v>101</v>
      </c>
      <c r="BS113" t="s">
        <v>1038</v>
      </c>
      <c r="BT113" t="str">
        <f>HYPERLINK("https%3A%2F%2Fwww.webofscience.com%2Fwos%2Fwoscc%2Ffull-record%2FWOS:000257683100133","View Full Record in Web of Science")</f>
        <v>View Full Record in Web of Science</v>
      </c>
    </row>
    <row r="114" spans="1:72" x14ac:dyDescent="0.15">
      <c r="A114" t="s">
        <v>72</v>
      </c>
      <c r="B114" t="s">
        <v>1039</v>
      </c>
      <c r="C114" t="s">
        <v>74</v>
      </c>
      <c r="D114" t="s">
        <v>74</v>
      </c>
      <c r="E114" t="s">
        <v>74</v>
      </c>
      <c r="F114" t="s">
        <v>1040</v>
      </c>
      <c r="G114" t="s">
        <v>74</v>
      </c>
      <c r="H114" t="s">
        <v>74</v>
      </c>
      <c r="I114" t="s">
        <v>1041</v>
      </c>
      <c r="J114" t="s">
        <v>77</v>
      </c>
      <c r="K114" t="s">
        <v>74</v>
      </c>
      <c r="L114" t="s">
        <v>74</v>
      </c>
      <c r="M114" t="s">
        <v>78</v>
      </c>
      <c r="N114" t="s">
        <v>52</v>
      </c>
      <c r="O114" t="s">
        <v>79</v>
      </c>
      <c r="P114" t="s">
        <v>80</v>
      </c>
      <c r="Q114" t="s">
        <v>81</v>
      </c>
      <c r="R114" t="s">
        <v>74</v>
      </c>
      <c r="S114" t="s">
        <v>82</v>
      </c>
      <c r="T114" t="s">
        <v>74</v>
      </c>
      <c r="U114" t="s">
        <v>74</v>
      </c>
      <c r="V114" t="s">
        <v>74</v>
      </c>
      <c r="W114" t="s">
        <v>1042</v>
      </c>
      <c r="X114" t="s">
        <v>1043</v>
      </c>
      <c r="Y114" t="s">
        <v>74</v>
      </c>
      <c r="Z114" t="s">
        <v>1044</v>
      </c>
      <c r="AA114" t="s">
        <v>449</v>
      </c>
      <c r="AB114" t="s">
        <v>74</v>
      </c>
      <c r="AC114" t="s">
        <v>74</v>
      </c>
      <c r="AD114" t="s">
        <v>74</v>
      </c>
      <c r="AE114" t="s">
        <v>74</v>
      </c>
      <c r="AF114" t="s">
        <v>74</v>
      </c>
      <c r="AG114">
        <v>1</v>
      </c>
      <c r="AH114">
        <v>0</v>
      </c>
      <c r="AI114">
        <v>0</v>
      </c>
      <c r="AJ114">
        <v>0</v>
      </c>
      <c r="AK114">
        <v>0</v>
      </c>
      <c r="AL114" t="s">
        <v>149</v>
      </c>
      <c r="AM114" t="s">
        <v>150</v>
      </c>
      <c r="AN114" t="s">
        <v>151</v>
      </c>
      <c r="AO114" t="s">
        <v>91</v>
      </c>
      <c r="AP114" t="s">
        <v>74</v>
      </c>
      <c r="AQ114" t="s">
        <v>74</v>
      </c>
      <c r="AR114" t="s">
        <v>93</v>
      </c>
      <c r="AS114" t="s">
        <v>94</v>
      </c>
      <c r="AT114" t="s">
        <v>95</v>
      </c>
      <c r="AU114">
        <v>2008</v>
      </c>
      <c r="AV114">
        <v>43</v>
      </c>
      <c r="AW114">
        <v>7</v>
      </c>
      <c r="AX114" t="s">
        <v>74</v>
      </c>
      <c r="AY114" t="s">
        <v>96</v>
      </c>
      <c r="AZ114" t="s">
        <v>74</v>
      </c>
      <c r="BA114" t="s">
        <v>74</v>
      </c>
      <c r="BB114" t="s">
        <v>1037</v>
      </c>
      <c r="BC114" t="s">
        <v>1037</v>
      </c>
      <c r="BD114" t="s">
        <v>74</v>
      </c>
      <c r="BE114" t="s">
        <v>74</v>
      </c>
      <c r="BF114" t="s">
        <v>74</v>
      </c>
      <c r="BG114" t="s">
        <v>74</v>
      </c>
      <c r="BH114" t="s">
        <v>74</v>
      </c>
      <c r="BI114">
        <v>1</v>
      </c>
      <c r="BJ114" t="s">
        <v>98</v>
      </c>
      <c r="BK114" t="s">
        <v>99</v>
      </c>
      <c r="BL114" t="s">
        <v>98</v>
      </c>
      <c r="BM114" t="s">
        <v>100</v>
      </c>
      <c r="BN114" t="s">
        <v>74</v>
      </c>
      <c r="BO114" t="s">
        <v>74</v>
      </c>
      <c r="BP114" t="s">
        <v>74</v>
      </c>
      <c r="BQ114" t="s">
        <v>74</v>
      </c>
      <c r="BR114" t="s">
        <v>101</v>
      </c>
      <c r="BS114" t="s">
        <v>1045</v>
      </c>
      <c r="BT114" t="str">
        <f>HYPERLINK("https%3A%2F%2Fwww.webofscience.com%2Fwos%2Fwoscc%2Ffull-record%2FWOS:000257683100134","View Full Record in Web of Science")</f>
        <v>View Full Record in Web of Science</v>
      </c>
    </row>
    <row r="115" spans="1:72" x14ac:dyDescent="0.15">
      <c r="A115" t="s">
        <v>72</v>
      </c>
      <c r="B115" t="s">
        <v>1046</v>
      </c>
      <c r="C115" t="s">
        <v>74</v>
      </c>
      <c r="D115" t="s">
        <v>74</v>
      </c>
      <c r="E115" t="s">
        <v>74</v>
      </c>
      <c r="F115" t="s">
        <v>1047</v>
      </c>
      <c r="G115" t="s">
        <v>74</v>
      </c>
      <c r="H115" t="s">
        <v>74</v>
      </c>
      <c r="I115" t="s">
        <v>1048</v>
      </c>
      <c r="J115" t="s">
        <v>77</v>
      </c>
      <c r="K115" t="s">
        <v>74</v>
      </c>
      <c r="L115" t="s">
        <v>74</v>
      </c>
      <c r="M115" t="s">
        <v>78</v>
      </c>
      <c r="N115" t="s">
        <v>52</v>
      </c>
      <c r="O115" t="s">
        <v>79</v>
      </c>
      <c r="P115" t="s">
        <v>80</v>
      </c>
      <c r="Q115" t="s">
        <v>81</v>
      </c>
      <c r="R115" t="s">
        <v>74</v>
      </c>
      <c r="S115" t="s">
        <v>82</v>
      </c>
      <c r="T115" t="s">
        <v>74</v>
      </c>
      <c r="U115" t="s">
        <v>74</v>
      </c>
      <c r="V115" t="s">
        <v>74</v>
      </c>
      <c r="W115" t="s">
        <v>1049</v>
      </c>
      <c r="X115" t="s">
        <v>1050</v>
      </c>
      <c r="Y115" t="s">
        <v>74</v>
      </c>
      <c r="Z115" t="s">
        <v>1051</v>
      </c>
      <c r="AA115" t="s">
        <v>1052</v>
      </c>
      <c r="AB115" t="s">
        <v>74</v>
      </c>
      <c r="AC115" t="s">
        <v>74</v>
      </c>
      <c r="AD115" t="s">
        <v>74</v>
      </c>
      <c r="AE115" t="s">
        <v>74</v>
      </c>
      <c r="AF115" t="s">
        <v>74</v>
      </c>
      <c r="AG115">
        <v>4</v>
      </c>
      <c r="AH115">
        <v>1</v>
      </c>
      <c r="AI115">
        <v>1</v>
      </c>
      <c r="AJ115">
        <v>0</v>
      </c>
      <c r="AK115">
        <v>0</v>
      </c>
      <c r="AL115" t="s">
        <v>149</v>
      </c>
      <c r="AM115" t="s">
        <v>150</v>
      </c>
      <c r="AN115" t="s">
        <v>151</v>
      </c>
      <c r="AO115" t="s">
        <v>91</v>
      </c>
      <c r="AP115" t="s">
        <v>74</v>
      </c>
      <c r="AQ115" t="s">
        <v>74</v>
      </c>
      <c r="AR115" t="s">
        <v>93</v>
      </c>
      <c r="AS115" t="s">
        <v>94</v>
      </c>
      <c r="AT115" t="s">
        <v>95</v>
      </c>
      <c r="AU115">
        <v>2008</v>
      </c>
      <c r="AV115">
        <v>43</v>
      </c>
      <c r="AW115">
        <v>7</v>
      </c>
      <c r="AX115" t="s">
        <v>74</v>
      </c>
      <c r="AY115" t="s">
        <v>96</v>
      </c>
      <c r="AZ115" t="s">
        <v>74</v>
      </c>
      <c r="BA115" t="s">
        <v>74</v>
      </c>
      <c r="BB115" t="s">
        <v>1053</v>
      </c>
      <c r="BC115" t="s">
        <v>1053</v>
      </c>
      <c r="BD115" t="s">
        <v>74</v>
      </c>
      <c r="BE115" t="s">
        <v>74</v>
      </c>
      <c r="BF115" t="s">
        <v>74</v>
      </c>
      <c r="BG115" t="s">
        <v>74</v>
      </c>
      <c r="BH115" t="s">
        <v>74</v>
      </c>
      <c r="BI115">
        <v>1</v>
      </c>
      <c r="BJ115" t="s">
        <v>98</v>
      </c>
      <c r="BK115" t="s">
        <v>99</v>
      </c>
      <c r="BL115" t="s">
        <v>98</v>
      </c>
      <c r="BM115" t="s">
        <v>100</v>
      </c>
      <c r="BN115" t="s">
        <v>74</v>
      </c>
      <c r="BO115" t="s">
        <v>74</v>
      </c>
      <c r="BP115" t="s">
        <v>74</v>
      </c>
      <c r="BQ115" t="s">
        <v>74</v>
      </c>
      <c r="BR115" t="s">
        <v>101</v>
      </c>
      <c r="BS115" t="s">
        <v>1054</v>
      </c>
      <c r="BT115" t="str">
        <f>HYPERLINK("https%3A%2F%2Fwww.webofscience.com%2Fwos%2Fwoscc%2Ffull-record%2FWOS:000257683100135","View Full Record in Web of Science")</f>
        <v>View Full Record in Web of Science</v>
      </c>
    </row>
    <row r="116" spans="1:72" x14ac:dyDescent="0.15">
      <c r="A116" t="s">
        <v>72</v>
      </c>
      <c r="B116" t="s">
        <v>1055</v>
      </c>
      <c r="C116" t="s">
        <v>74</v>
      </c>
      <c r="D116" t="s">
        <v>74</v>
      </c>
      <c r="E116" t="s">
        <v>74</v>
      </c>
      <c r="F116" t="s">
        <v>1056</v>
      </c>
      <c r="G116" t="s">
        <v>74</v>
      </c>
      <c r="H116" t="s">
        <v>74</v>
      </c>
      <c r="I116" t="s">
        <v>1057</v>
      </c>
      <c r="J116" t="s">
        <v>77</v>
      </c>
      <c r="K116" t="s">
        <v>74</v>
      </c>
      <c r="L116" t="s">
        <v>74</v>
      </c>
      <c r="M116" t="s">
        <v>78</v>
      </c>
      <c r="N116" t="s">
        <v>52</v>
      </c>
      <c r="O116" t="s">
        <v>79</v>
      </c>
      <c r="P116" t="s">
        <v>80</v>
      </c>
      <c r="Q116" t="s">
        <v>81</v>
      </c>
      <c r="R116" t="s">
        <v>74</v>
      </c>
      <c r="S116" t="s">
        <v>82</v>
      </c>
      <c r="T116" t="s">
        <v>74</v>
      </c>
      <c r="U116" t="s">
        <v>74</v>
      </c>
      <c r="V116" t="s">
        <v>74</v>
      </c>
      <c r="W116" t="s">
        <v>1058</v>
      </c>
      <c r="X116" t="s">
        <v>1059</v>
      </c>
      <c r="Y116" t="s">
        <v>74</v>
      </c>
      <c r="Z116" t="s">
        <v>1060</v>
      </c>
      <c r="AA116" t="s">
        <v>74</v>
      </c>
      <c r="AB116" t="s">
        <v>74</v>
      </c>
      <c r="AC116" t="s">
        <v>74</v>
      </c>
      <c r="AD116" t="s">
        <v>74</v>
      </c>
      <c r="AE116" t="s">
        <v>74</v>
      </c>
      <c r="AF116" t="s">
        <v>74</v>
      </c>
      <c r="AG116">
        <v>4</v>
      </c>
      <c r="AH116">
        <v>1</v>
      </c>
      <c r="AI116">
        <v>1</v>
      </c>
      <c r="AJ116">
        <v>0</v>
      </c>
      <c r="AK116">
        <v>2</v>
      </c>
      <c r="AL116" t="s">
        <v>109</v>
      </c>
      <c r="AM116" t="s">
        <v>110</v>
      </c>
      <c r="AN116" t="s">
        <v>111</v>
      </c>
      <c r="AO116" t="s">
        <v>91</v>
      </c>
      <c r="AP116" t="s">
        <v>74</v>
      </c>
      <c r="AQ116" t="s">
        <v>74</v>
      </c>
      <c r="AR116" t="s">
        <v>93</v>
      </c>
      <c r="AS116" t="s">
        <v>94</v>
      </c>
      <c r="AT116" t="s">
        <v>95</v>
      </c>
      <c r="AU116">
        <v>2008</v>
      </c>
      <c r="AV116">
        <v>43</v>
      </c>
      <c r="AW116">
        <v>7</v>
      </c>
      <c r="AX116" t="s">
        <v>74</v>
      </c>
      <c r="AY116" t="s">
        <v>96</v>
      </c>
      <c r="AZ116" t="s">
        <v>74</v>
      </c>
      <c r="BA116" t="s">
        <v>74</v>
      </c>
      <c r="BB116" t="s">
        <v>976</v>
      </c>
      <c r="BC116" t="s">
        <v>976</v>
      </c>
      <c r="BD116" t="s">
        <v>74</v>
      </c>
      <c r="BE116" t="s">
        <v>74</v>
      </c>
      <c r="BF116" t="s">
        <v>74</v>
      </c>
      <c r="BG116" t="s">
        <v>74</v>
      </c>
      <c r="BH116" t="s">
        <v>74</v>
      </c>
      <c r="BI116">
        <v>1</v>
      </c>
      <c r="BJ116" t="s">
        <v>98</v>
      </c>
      <c r="BK116" t="s">
        <v>113</v>
      </c>
      <c r="BL116" t="s">
        <v>98</v>
      </c>
      <c r="BM116" t="s">
        <v>100</v>
      </c>
      <c r="BN116" t="s">
        <v>74</v>
      </c>
      <c r="BO116" t="s">
        <v>74</v>
      </c>
      <c r="BP116" t="s">
        <v>74</v>
      </c>
      <c r="BQ116" t="s">
        <v>74</v>
      </c>
      <c r="BR116" t="s">
        <v>101</v>
      </c>
      <c r="BS116" t="s">
        <v>1061</v>
      </c>
      <c r="BT116" t="str">
        <f>HYPERLINK("https%3A%2F%2Fwww.webofscience.com%2Fwos%2Fwoscc%2Ffull-record%2FWOS:000257683100345","View Full Record in Web of Science")</f>
        <v>View Full Record in Web of Science</v>
      </c>
    </row>
    <row r="117" spans="1:72" x14ac:dyDescent="0.15">
      <c r="A117" t="s">
        <v>72</v>
      </c>
      <c r="B117" t="s">
        <v>1062</v>
      </c>
      <c r="C117" t="s">
        <v>74</v>
      </c>
      <c r="D117" t="s">
        <v>74</v>
      </c>
      <c r="E117" t="s">
        <v>74</v>
      </c>
      <c r="F117" t="s">
        <v>1063</v>
      </c>
      <c r="G117" t="s">
        <v>74</v>
      </c>
      <c r="H117" t="s">
        <v>74</v>
      </c>
      <c r="I117" t="s">
        <v>1064</v>
      </c>
      <c r="J117" t="s">
        <v>77</v>
      </c>
      <c r="K117" t="s">
        <v>74</v>
      </c>
      <c r="L117" t="s">
        <v>74</v>
      </c>
      <c r="M117" t="s">
        <v>78</v>
      </c>
      <c r="N117" t="s">
        <v>52</v>
      </c>
      <c r="O117" t="s">
        <v>79</v>
      </c>
      <c r="P117" t="s">
        <v>80</v>
      </c>
      <c r="Q117" t="s">
        <v>81</v>
      </c>
      <c r="R117" t="s">
        <v>74</v>
      </c>
      <c r="S117" t="s">
        <v>82</v>
      </c>
      <c r="T117" t="s">
        <v>74</v>
      </c>
      <c r="U117" t="s">
        <v>135</v>
      </c>
      <c r="V117" t="s">
        <v>74</v>
      </c>
      <c r="W117" t="s">
        <v>1065</v>
      </c>
      <c r="X117" t="s">
        <v>1066</v>
      </c>
      <c r="Y117" t="s">
        <v>74</v>
      </c>
      <c r="Z117" t="s">
        <v>1067</v>
      </c>
      <c r="AA117" t="s">
        <v>1068</v>
      </c>
      <c r="AB117" t="s">
        <v>1069</v>
      </c>
      <c r="AC117" t="s">
        <v>74</v>
      </c>
      <c r="AD117" t="s">
        <v>74</v>
      </c>
      <c r="AE117" t="s">
        <v>74</v>
      </c>
      <c r="AF117" t="s">
        <v>74</v>
      </c>
      <c r="AG117">
        <v>6</v>
      </c>
      <c r="AH117">
        <v>1</v>
      </c>
      <c r="AI117">
        <v>1</v>
      </c>
      <c r="AJ117">
        <v>0</v>
      </c>
      <c r="AK117">
        <v>0</v>
      </c>
      <c r="AL117" t="s">
        <v>88</v>
      </c>
      <c r="AM117" t="s">
        <v>89</v>
      </c>
      <c r="AN117" t="s">
        <v>90</v>
      </c>
      <c r="AO117" t="s">
        <v>91</v>
      </c>
      <c r="AP117" t="s">
        <v>92</v>
      </c>
      <c r="AQ117" t="s">
        <v>74</v>
      </c>
      <c r="AR117" t="s">
        <v>93</v>
      </c>
      <c r="AS117" t="s">
        <v>94</v>
      </c>
      <c r="AT117" t="s">
        <v>95</v>
      </c>
      <c r="AU117">
        <v>2008</v>
      </c>
      <c r="AV117">
        <v>43</v>
      </c>
      <c r="AW117">
        <v>7</v>
      </c>
      <c r="AX117" t="s">
        <v>74</v>
      </c>
      <c r="AY117" t="s">
        <v>96</v>
      </c>
      <c r="AZ117" t="s">
        <v>74</v>
      </c>
      <c r="BA117" t="s">
        <v>74</v>
      </c>
      <c r="BB117" t="s">
        <v>1053</v>
      </c>
      <c r="BC117" t="s">
        <v>1053</v>
      </c>
      <c r="BD117" t="s">
        <v>74</v>
      </c>
      <c r="BE117" t="s">
        <v>74</v>
      </c>
      <c r="BF117" t="s">
        <v>74</v>
      </c>
      <c r="BG117" t="s">
        <v>74</v>
      </c>
      <c r="BH117" t="s">
        <v>74</v>
      </c>
      <c r="BI117">
        <v>1</v>
      </c>
      <c r="BJ117" t="s">
        <v>98</v>
      </c>
      <c r="BK117" t="s">
        <v>99</v>
      </c>
      <c r="BL117" t="s">
        <v>98</v>
      </c>
      <c r="BM117" t="s">
        <v>100</v>
      </c>
      <c r="BN117" t="s">
        <v>74</v>
      </c>
      <c r="BO117" t="s">
        <v>74</v>
      </c>
      <c r="BP117" t="s">
        <v>74</v>
      </c>
      <c r="BQ117" t="s">
        <v>74</v>
      </c>
      <c r="BR117" t="s">
        <v>101</v>
      </c>
      <c r="BS117" t="s">
        <v>1070</v>
      </c>
      <c r="BT117" t="str">
        <f>HYPERLINK("https%3A%2F%2Fwww.webofscience.com%2Fwos%2Fwoscc%2Ffull-record%2FWOS:000257683100136","View Full Record in Web of Science")</f>
        <v>View Full Record in Web of Science</v>
      </c>
    </row>
    <row r="118" spans="1:72" x14ac:dyDescent="0.15">
      <c r="A118" t="s">
        <v>72</v>
      </c>
      <c r="B118" t="s">
        <v>1071</v>
      </c>
      <c r="C118" t="s">
        <v>74</v>
      </c>
      <c r="D118" t="s">
        <v>74</v>
      </c>
      <c r="E118" t="s">
        <v>74</v>
      </c>
      <c r="F118" t="s">
        <v>1072</v>
      </c>
      <c r="G118" t="s">
        <v>74</v>
      </c>
      <c r="H118" t="s">
        <v>74</v>
      </c>
      <c r="I118" t="s">
        <v>1073</v>
      </c>
      <c r="J118" t="s">
        <v>77</v>
      </c>
      <c r="K118" t="s">
        <v>74</v>
      </c>
      <c r="L118" t="s">
        <v>74</v>
      </c>
      <c r="M118" t="s">
        <v>78</v>
      </c>
      <c r="N118" t="s">
        <v>52</v>
      </c>
      <c r="O118" t="s">
        <v>79</v>
      </c>
      <c r="P118" t="s">
        <v>80</v>
      </c>
      <c r="Q118" t="s">
        <v>81</v>
      </c>
      <c r="R118" t="s">
        <v>74</v>
      </c>
      <c r="S118" t="s">
        <v>82</v>
      </c>
      <c r="T118" t="s">
        <v>74</v>
      </c>
      <c r="U118" t="s">
        <v>1074</v>
      </c>
      <c r="V118" t="s">
        <v>74</v>
      </c>
      <c r="W118" t="s">
        <v>1075</v>
      </c>
      <c r="X118" t="s">
        <v>661</v>
      </c>
      <c r="Y118" t="s">
        <v>74</v>
      </c>
      <c r="Z118" t="s">
        <v>1076</v>
      </c>
      <c r="AA118" t="s">
        <v>663</v>
      </c>
      <c r="AB118" t="s">
        <v>664</v>
      </c>
      <c r="AC118" t="s">
        <v>74</v>
      </c>
      <c r="AD118" t="s">
        <v>74</v>
      </c>
      <c r="AE118" t="s">
        <v>74</v>
      </c>
      <c r="AF118" t="s">
        <v>74</v>
      </c>
      <c r="AG118">
        <v>4</v>
      </c>
      <c r="AH118">
        <v>1</v>
      </c>
      <c r="AI118">
        <v>1</v>
      </c>
      <c r="AJ118">
        <v>0</v>
      </c>
      <c r="AK118">
        <v>0</v>
      </c>
      <c r="AL118" t="s">
        <v>88</v>
      </c>
      <c r="AM118" t="s">
        <v>89</v>
      </c>
      <c r="AN118" t="s">
        <v>90</v>
      </c>
      <c r="AO118" t="s">
        <v>91</v>
      </c>
      <c r="AP118" t="s">
        <v>92</v>
      </c>
      <c r="AQ118" t="s">
        <v>74</v>
      </c>
      <c r="AR118" t="s">
        <v>93</v>
      </c>
      <c r="AS118" t="s">
        <v>94</v>
      </c>
      <c r="AT118" t="s">
        <v>95</v>
      </c>
      <c r="AU118">
        <v>2008</v>
      </c>
      <c r="AV118">
        <v>43</v>
      </c>
      <c r="AW118">
        <v>7</v>
      </c>
      <c r="AX118" t="s">
        <v>74</v>
      </c>
      <c r="AY118" t="s">
        <v>96</v>
      </c>
      <c r="AZ118" t="s">
        <v>74</v>
      </c>
      <c r="BA118" t="s">
        <v>74</v>
      </c>
      <c r="BB118" t="s">
        <v>1077</v>
      </c>
      <c r="BC118" t="s">
        <v>1077</v>
      </c>
      <c r="BD118" t="s">
        <v>74</v>
      </c>
      <c r="BE118" t="s">
        <v>74</v>
      </c>
      <c r="BF118" t="s">
        <v>74</v>
      </c>
      <c r="BG118" t="s">
        <v>74</v>
      </c>
      <c r="BH118" t="s">
        <v>74</v>
      </c>
      <c r="BI118">
        <v>1</v>
      </c>
      <c r="BJ118" t="s">
        <v>98</v>
      </c>
      <c r="BK118" t="s">
        <v>99</v>
      </c>
      <c r="BL118" t="s">
        <v>98</v>
      </c>
      <c r="BM118" t="s">
        <v>100</v>
      </c>
      <c r="BN118" t="s">
        <v>74</v>
      </c>
      <c r="BO118" t="s">
        <v>74</v>
      </c>
      <c r="BP118" t="s">
        <v>74</v>
      </c>
      <c r="BQ118" t="s">
        <v>74</v>
      </c>
      <c r="BR118" t="s">
        <v>101</v>
      </c>
      <c r="BS118" t="s">
        <v>1078</v>
      </c>
      <c r="BT118" t="str">
        <f>HYPERLINK("https%3A%2F%2Fwww.webofscience.com%2Fwos%2Fwoscc%2Ffull-record%2FWOS:000257683100137","View Full Record in Web of Science")</f>
        <v>View Full Record in Web of Science</v>
      </c>
    </row>
    <row r="119" spans="1:72" x14ac:dyDescent="0.15">
      <c r="A119" t="s">
        <v>72</v>
      </c>
      <c r="B119" t="s">
        <v>1079</v>
      </c>
      <c r="C119" t="s">
        <v>74</v>
      </c>
      <c r="D119" t="s">
        <v>74</v>
      </c>
      <c r="E119" t="s">
        <v>74</v>
      </c>
      <c r="F119" t="s">
        <v>1080</v>
      </c>
      <c r="G119" t="s">
        <v>74</v>
      </c>
      <c r="H119" t="s">
        <v>74</v>
      </c>
      <c r="I119" t="s">
        <v>1081</v>
      </c>
      <c r="J119" t="s">
        <v>77</v>
      </c>
      <c r="K119" t="s">
        <v>74</v>
      </c>
      <c r="L119" t="s">
        <v>74</v>
      </c>
      <c r="M119" t="s">
        <v>78</v>
      </c>
      <c r="N119" t="s">
        <v>52</v>
      </c>
      <c r="O119" t="s">
        <v>79</v>
      </c>
      <c r="P119" t="s">
        <v>80</v>
      </c>
      <c r="Q119" t="s">
        <v>81</v>
      </c>
      <c r="R119" t="s">
        <v>74</v>
      </c>
      <c r="S119" t="s">
        <v>82</v>
      </c>
      <c r="T119" t="s">
        <v>74</v>
      </c>
      <c r="U119" t="s">
        <v>1082</v>
      </c>
      <c r="V119" t="s">
        <v>74</v>
      </c>
      <c r="W119" t="s">
        <v>1083</v>
      </c>
      <c r="X119" t="s">
        <v>1084</v>
      </c>
      <c r="Y119" t="s">
        <v>74</v>
      </c>
      <c r="Z119" t="s">
        <v>1085</v>
      </c>
      <c r="AA119" t="s">
        <v>1086</v>
      </c>
      <c r="AB119" t="s">
        <v>1087</v>
      </c>
      <c r="AC119" t="s">
        <v>74</v>
      </c>
      <c r="AD119" t="s">
        <v>74</v>
      </c>
      <c r="AE119" t="s">
        <v>74</v>
      </c>
      <c r="AF119" t="s">
        <v>74</v>
      </c>
      <c r="AG119">
        <v>10</v>
      </c>
      <c r="AH119">
        <v>3</v>
      </c>
      <c r="AI119">
        <v>3</v>
      </c>
      <c r="AJ119">
        <v>0</v>
      </c>
      <c r="AK119">
        <v>5</v>
      </c>
      <c r="AL119" t="s">
        <v>149</v>
      </c>
      <c r="AM119" t="s">
        <v>150</v>
      </c>
      <c r="AN119" t="s">
        <v>151</v>
      </c>
      <c r="AO119" t="s">
        <v>91</v>
      </c>
      <c r="AP119" t="s">
        <v>74</v>
      </c>
      <c r="AQ119" t="s">
        <v>74</v>
      </c>
      <c r="AR119" t="s">
        <v>93</v>
      </c>
      <c r="AS119" t="s">
        <v>94</v>
      </c>
      <c r="AT119" t="s">
        <v>95</v>
      </c>
      <c r="AU119">
        <v>2008</v>
      </c>
      <c r="AV119">
        <v>43</v>
      </c>
      <c r="AW119">
        <v>7</v>
      </c>
      <c r="AX119" t="s">
        <v>74</v>
      </c>
      <c r="AY119" t="s">
        <v>96</v>
      </c>
      <c r="AZ119" t="s">
        <v>74</v>
      </c>
      <c r="BA119" t="s">
        <v>74</v>
      </c>
      <c r="BB119" t="s">
        <v>1077</v>
      </c>
      <c r="BC119" t="s">
        <v>1077</v>
      </c>
      <c r="BD119" t="s">
        <v>74</v>
      </c>
      <c r="BE119" t="s">
        <v>74</v>
      </c>
      <c r="BF119" t="s">
        <v>74</v>
      </c>
      <c r="BG119" t="s">
        <v>74</v>
      </c>
      <c r="BH119" t="s">
        <v>74</v>
      </c>
      <c r="BI119">
        <v>1</v>
      </c>
      <c r="BJ119" t="s">
        <v>98</v>
      </c>
      <c r="BK119" t="s">
        <v>99</v>
      </c>
      <c r="BL119" t="s">
        <v>98</v>
      </c>
      <c r="BM119" t="s">
        <v>100</v>
      </c>
      <c r="BN119" t="s">
        <v>74</v>
      </c>
      <c r="BO119" t="s">
        <v>74</v>
      </c>
      <c r="BP119" t="s">
        <v>74</v>
      </c>
      <c r="BQ119" t="s">
        <v>74</v>
      </c>
      <c r="BR119" t="s">
        <v>101</v>
      </c>
      <c r="BS119" t="s">
        <v>1088</v>
      </c>
      <c r="BT119" t="str">
        <f>HYPERLINK("https%3A%2F%2Fwww.webofscience.com%2Fwos%2Fwoscc%2Ffull-record%2FWOS:000257683100138","View Full Record in Web of Science")</f>
        <v>View Full Record in Web of Science</v>
      </c>
    </row>
    <row r="120" spans="1:72" x14ac:dyDescent="0.15">
      <c r="A120" t="s">
        <v>72</v>
      </c>
      <c r="B120" t="s">
        <v>1089</v>
      </c>
      <c r="C120" t="s">
        <v>74</v>
      </c>
      <c r="D120" t="s">
        <v>74</v>
      </c>
      <c r="E120" t="s">
        <v>74</v>
      </c>
      <c r="F120" t="s">
        <v>1090</v>
      </c>
      <c r="G120" t="s">
        <v>74</v>
      </c>
      <c r="H120" t="s">
        <v>74</v>
      </c>
      <c r="I120" t="s">
        <v>1091</v>
      </c>
      <c r="J120" t="s">
        <v>77</v>
      </c>
      <c r="K120" t="s">
        <v>74</v>
      </c>
      <c r="L120" t="s">
        <v>74</v>
      </c>
      <c r="M120" t="s">
        <v>78</v>
      </c>
      <c r="N120" t="s">
        <v>52</v>
      </c>
      <c r="O120" t="s">
        <v>79</v>
      </c>
      <c r="P120" t="s">
        <v>80</v>
      </c>
      <c r="Q120" t="s">
        <v>81</v>
      </c>
      <c r="R120" t="s">
        <v>74</v>
      </c>
      <c r="S120" t="s">
        <v>82</v>
      </c>
      <c r="T120" t="s">
        <v>74</v>
      </c>
      <c r="U120" t="s">
        <v>74</v>
      </c>
      <c r="V120" t="s">
        <v>74</v>
      </c>
      <c r="W120" t="s">
        <v>1092</v>
      </c>
      <c r="X120" t="s">
        <v>1093</v>
      </c>
      <c r="Y120" t="s">
        <v>74</v>
      </c>
      <c r="Z120" t="s">
        <v>74</v>
      </c>
      <c r="AA120" t="s">
        <v>1094</v>
      </c>
      <c r="AB120" t="s">
        <v>74</v>
      </c>
      <c r="AC120" t="s">
        <v>74</v>
      </c>
      <c r="AD120" t="s">
        <v>74</v>
      </c>
      <c r="AE120" t="s">
        <v>74</v>
      </c>
      <c r="AF120" t="s">
        <v>74</v>
      </c>
      <c r="AG120">
        <v>3</v>
      </c>
      <c r="AH120">
        <v>0</v>
      </c>
      <c r="AI120">
        <v>0</v>
      </c>
      <c r="AJ120">
        <v>0</v>
      </c>
      <c r="AK120">
        <v>1</v>
      </c>
      <c r="AL120" t="s">
        <v>109</v>
      </c>
      <c r="AM120" t="s">
        <v>110</v>
      </c>
      <c r="AN120" t="s">
        <v>111</v>
      </c>
      <c r="AO120" t="s">
        <v>91</v>
      </c>
      <c r="AP120" t="s">
        <v>74</v>
      </c>
      <c r="AQ120" t="s">
        <v>74</v>
      </c>
      <c r="AR120" t="s">
        <v>93</v>
      </c>
      <c r="AS120" t="s">
        <v>94</v>
      </c>
      <c r="AT120" t="s">
        <v>95</v>
      </c>
      <c r="AU120">
        <v>2008</v>
      </c>
      <c r="AV120">
        <v>43</v>
      </c>
      <c r="AW120">
        <v>7</v>
      </c>
      <c r="AX120" t="s">
        <v>74</v>
      </c>
      <c r="AY120" t="s">
        <v>96</v>
      </c>
      <c r="AZ120" t="s">
        <v>74</v>
      </c>
      <c r="BA120" t="s">
        <v>74</v>
      </c>
      <c r="BB120" t="s">
        <v>1095</v>
      </c>
      <c r="BC120" t="s">
        <v>1095</v>
      </c>
      <c r="BD120" t="s">
        <v>74</v>
      </c>
      <c r="BE120" t="s">
        <v>74</v>
      </c>
      <c r="BF120" t="s">
        <v>74</v>
      </c>
      <c r="BG120" t="s">
        <v>74</v>
      </c>
      <c r="BH120" t="s">
        <v>74</v>
      </c>
      <c r="BI120">
        <v>1</v>
      </c>
      <c r="BJ120" t="s">
        <v>98</v>
      </c>
      <c r="BK120" t="s">
        <v>113</v>
      </c>
      <c r="BL120" t="s">
        <v>98</v>
      </c>
      <c r="BM120" t="s">
        <v>100</v>
      </c>
      <c r="BN120" t="s">
        <v>74</v>
      </c>
      <c r="BO120" t="s">
        <v>74</v>
      </c>
      <c r="BP120" t="s">
        <v>74</v>
      </c>
      <c r="BQ120" t="s">
        <v>74</v>
      </c>
      <c r="BR120" t="s">
        <v>101</v>
      </c>
      <c r="BS120" t="s">
        <v>1096</v>
      </c>
      <c r="BT120" t="str">
        <f>HYPERLINK("https%3A%2F%2Fwww.webofscience.com%2Fwos%2Fwoscc%2Ffull-record%2FWOS:000257683100139","View Full Record in Web of Science")</f>
        <v>View Full Record in Web of Science</v>
      </c>
    </row>
    <row r="121" spans="1:72" x14ac:dyDescent="0.15">
      <c r="A121" t="s">
        <v>72</v>
      </c>
      <c r="B121" t="s">
        <v>1097</v>
      </c>
      <c r="C121" t="s">
        <v>74</v>
      </c>
      <c r="D121" t="s">
        <v>74</v>
      </c>
      <c r="E121" t="s">
        <v>74</v>
      </c>
      <c r="F121" t="s">
        <v>1098</v>
      </c>
      <c r="G121" t="s">
        <v>74</v>
      </c>
      <c r="H121" t="s">
        <v>74</v>
      </c>
      <c r="I121" t="s">
        <v>1099</v>
      </c>
      <c r="J121" t="s">
        <v>77</v>
      </c>
      <c r="K121" t="s">
        <v>74</v>
      </c>
      <c r="L121" t="s">
        <v>74</v>
      </c>
      <c r="M121" t="s">
        <v>78</v>
      </c>
      <c r="N121" t="s">
        <v>52</v>
      </c>
      <c r="O121" t="s">
        <v>79</v>
      </c>
      <c r="P121" t="s">
        <v>80</v>
      </c>
      <c r="Q121" t="s">
        <v>81</v>
      </c>
      <c r="R121" t="s">
        <v>74</v>
      </c>
      <c r="S121" t="s">
        <v>82</v>
      </c>
      <c r="T121" t="s">
        <v>74</v>
      </c>
      <c r="U121" t="s">
        <v>74</v>
      </c>
      <c r="V121" t="s">
        <v>74</v>
      </c>
      <c r="W121" t="s">
        <v>1100</v>
      </c>
      <c r="X121" t="s">
        <v>108</v>
      </c>
      <c r="Y121" t="s">
        <v>74</v>
      </c>
      <c r="Z121" t="s">
        <v>1101</v>
      </c>
      <c r="AA121" t="s">
        <v>74</v>
      </c>
      <c r="AB121" t="s">
        <v>74</v>
      </c>
      <c r="AC121" t="s">
        <v>74</v>
      </c>
      <c r="AD121" t="s">
        <v>74</v>
      </c>
      <c r="AE121" t="s">
        <v>74</v>
      </c>
      <c r="AF121" t="s">
        <v>74</v>
      </c>
      <c r="AG121">
        <v>5</v>
      </c>
      <c r="AH121">
        <v>0</v>
      </c>
      <c r="AI121">
        <v>0</v>
      </c>
      <c r="AJ121">
        <v>0</v>
      </c>
      <c r="AK121">
        <v>3</v>
      </c>
      <c r="AL121" t="s">
        <v>88</v>
      </c>
      <c r="AM121" t="s">
        <v>89</v>
      </c>
      <c r="AN121" t="s">
        <v>90</v>
      </c>
      <c r="AO121" t="s">
        <v>91</v>
      </c>
      <c r="AP121" t="s">
        <v>92</v>
      </c>
      <c r="AQ121" t="s">
        <v>74</v>
      </c>
      <c r="AR121" t="s">
        <v>93</v>
      </c>
      <c r="AS121" t="s">
        <v>94</v>
      </c>
      <c r="AT121" t="s">
        <v>95</v>
      </c>
      <c r="AU121">
        <v>2008</v>
      </c>
      <c r="AV121">
        <v>43</v>
      </c>
      <c r="AW121">
        <v>7</v>
      </c>
      <c r="AX121" t="s">
        <v>74</v>
      </c>
      <c r="AY121" t="s">
        <v>96</v>
      </c>
      <c r="AZ121" t="s">
        <v>74</v>
      </c>
      <c r="BA121" t="s">
        <v>74</v>
      </c>
      <c r="BB121" t="s">
        <v>1102</v>
      </c>
      <c r="BC121" t="s">
        <v>1102</v>
      </c>
      <c r="BD121" t="s">
        <v>74</v>
      </c>
      <c r="BE121" t="s">
        <v>74</v>
      </c>
      <c r="BF121" t="s">
        <v>74</v>
      </c>
      <c r="BG121" t="s">
        <v>74</v>
      </c>
      <c r="BH121" t="s">
        <v>74</v>
      </c>
      <c r="BI121">
        <v>1</v>
      </c>
      <c r="BJ121" t="s">
        <v>98</v>
      </c>
      <c r="BK121" t="s">
        <v>99</v>
      </c>
      <c r="BL121" t="s">
        <v>98</v>
      </c>
      <c r="BM121" t="s">
        <v>100</v>
      </c>
      <c r="BN121" t="s">
        <v>74</v>
      </c>
      <c r="BO121" t="s">
        <v>74</v>
      </c>
      <c r="BP121" t="s">
        <v>74</v>
      </c>
      <c r="BQ121" t="s">
        <v>74</v>
      </c>
      <c r="BR121" t="s">
        <v>101</v>
      </c>
      <c r="BS121" t="s">
        <v>1103</v>
      </c>
      <c r="BT121" t="str">
        <f>HYPERLINK("https%3A%2F%2Fwww.webofscience.com%2Fwos%2Fwoscc%2Ffull-record%2FWOS:000257683100346","View Full Record in Web of Science")</f>
        <v>View Full Record in Web of Science</v>
      </c>
    </row>
    <row r="122" spans="1:72" x14ac:dyDescent="0.15">
      <c r="A122" t="s">
        <v>72</v>
      </c>
      <c r="B122" t="s">
        <v>1104</v>
      </c>
      <c r="C122" t="s">
        <v>74</v>
      </c>
      <c r="D122" t="s">
        <v>74</v>
      </c>
      <c r="E122" t="s">
        <v>74</v>
      </c>
      <c r="F122" t="s">
        <v>1105</v>
      </c>
      <c r="G122" t="s">
        <v>74</v>
      </c>
      <c r="H122" t="s">
        <v>74</v>
      </c>
      <c r="I122" t="s">
        <v>1106</v>
      </c>
      <c r="J122" t="s">
        <v>77</v>
      </c>
      <c r="K122" t="s">
        <v>74</v>
      </c>
      <c r="L122" t="s">
        <v>74</v>
      </c>
      <c r="M122" t="s">
        <v>78</v>
      </c>
      <c r="N122" t="s">
        <v>52</v>
      </c>
      <c r="O122" t="s">
        <v>79</v>
      </c>
      <c r="P122" t="s">
        <v>80</v>
      </c>
      <c r="Q122" t="s">
        <v>81</v>
      </c>
      <c r="R122" t="s">
        <v>74</v>
      </c>
      <c r="S122" t="s">
        <v>82</v>
      </c>
      <c r="T122" t="s">
        <v>74</v>
      </c>
      <c r="U122" t="s">
        <v>74</v>
      </c>
      <c r="V122" t="s">
        <v>74</v>
      </c>
      <c r="W122" t="s">
        <v>1107</v>
      </c>
      <c r="X122" t="s">
        <v>108</v>
      </c>
      <c r="Y122" t="s">
        <v>74</v>
      </c>
      <c r="Z122" t="s">
        <v>1101</v>
      </c>
      <c r="AA122" t="s">
        <v>74</v>
      </c>
      <c r="AB122" t="s">
        <v>74</v>
      </c>
      <c r="AC122" t="s">
        <v>74</v>
      </c>
      <c r="AD122" t="s">
        <v>74</v>
      </c>
      <c r="AE122" t="s">
        <v>74</v>
      </c>
      <c r="AF122" t="s">
        <v>74</v>
      </c>
      <c r="AG122">
        <v>3</v>
      </c>
      <c r="AH122">
        <v>6</v>
      </c>
      <c r="AI122">
        <v>6</v>
      </c>
      <c r="AJ122">
        <v>0</v>
      </c>
      <c r="AK122">
        <v>2</v>
      </c>
      <c r="AL122" t="s">
        <v>88</v>
      </c>
      <c r="AM122" t="s">
        <v>89</v>
      </c>
      <c r="AN122" t="s">
        <v>90</v>
      </c>
      <c r="AO122" t="s">
        <v>91</v>
      </c>
      <c r="AP122" t="s">
        <v>92</v>
      </c>
      <c r="AQ122" t="s">
        <v>74</v>
      </c>
      <c r="AR122" t="s">
        <v>93</v>
      </c>
      <c r="AS122" t="s">
        <v>94</v>
      </c>
      <c r="AT122" t="s">
        <v>95</v>
      </c>
      <c r="AU122">
        <v>2008</v>
      </c>
      <c r="AV122">
        <v>43</v>
      </c>
      <c r="AW122">
        <v>7</v>
      </c>
      <c r="AX122" t="s">
        <v>74</v>
      </c>
      <c r="AY122" t="s">
        <v>96</v>
      </c>
      <c r="AZ122" t="s">
        <v>74</v>
      </c>
      <c r="BA122" t="s">
        <v>74</v>
      </c>
      <c r="BB122" t="s">
        <v>1095</v>
      </c>
      <c r="BC122" t="s">
        <v>1095</v>
      </c>
      <c r="BD122" t="s">
        <v>74</v>
      </c>
      <c r="BE122" t="s">
        <v>74</v>
      </c>
      <c r="BF122" t="s">
        <v>74</v>
      </c>
      <c r="BG122" t="s">
        <v>74</v>
      </c>
      <c r="BH122" t="s">
        <v>74</v>
      </c>
      <c r="BI122">
        <v>1</v>
      </c>
      <c r="BJ122" t="s">
        <v>98</v>
      </c>
      <c r="BK122" t="s">
        <v>99</v>
      </c>
      <c r="BL122" t="s">
        <v>98</v>
      </c>
      <c r="BM122" t="s">
        <v>100</v>
      </c>
      <c r="BN122" t="s">
        <v>74</v>
      </c>
      <c r="BO122" t="s">
        <v>74</v>
      </c>
      <c r="BP122" t="s">
        <v>74</v>
      </c>
      <c r="BQ122" t="s">
        <v>74</v>
      </c>
      <c r="BR122" t="s">
        <v>101</v>
      </c>
      <c r="BS122" t="s">
        <v>1108</v>
      </c>
      <c r="BT122" t="str">
        <f>HYPERLINK("https%3A%2F%2Fwww.webofscience.com%2Fwos%2Fwoscc%2Ffull-record%2FWOS:000257683100140","View Full Record in Web of Science")</f>
        <v>View Full Record in Web of Science</v>
      </c>
    </row>
    <row r="123" spans="1:72" x14ac:dyDescent="0.15">
      <c r="A123" t="s">
        <v>72</v>
      </c>
      <c r="B123" t="s">
        <v>1109</v>
      </c>
      <c r="C123" t="s">
        <v>74</v>
      </c>
      <c r="D123" t="s">
        <v>74</v>
      </c>
      <c r="E123" t="s">
        <v>74</v>
      </c>
      <c r="F123" t="s">
        <v>1110</v>
      </c>
      <c r="G123" t="s">
        <v>74</v>
      </c>
      <c r="H123" t="s">
        <v>74</v>
      </c>
      <c r="I123" t="s">
        <v>1111</v>
      </c>
      <c r="J123" t="s">
        <v>77</v>
      </c>
      <c r="K123" t="s">
        <v>74</v>
      </c>
      <c r="L123" t="s">
        <v>74</v>
      </c>
      <c r="M123" t="s">
        <v>78</v>
      </c>
      <c r="N123" t="s">
        <v>52</v>
      </c>
      <c r="O123" t="s">
        <v>79</v>
      </c>
      <c r="P123" t="s">
        <v>80</v>
      </c>
      <c r="Q123" t="s">
        <v>81</v>
      </c>
      <c r="R123" t="s">
        <v>74</v>
      </c>
      <c r="S123" t="s">
        <v>82</v>
      </c>
      <c r="T123" t="s">
        <v>74</v>
      </c>
      <c r="U123" t="s">
        <v>74</v>
      </c>
      <c r="V123" t="s">
        <v>74</v>
      </c>
      <c r="W123" t="s">
        <v>1112</v>
      </c>
      <c r="X123" t="s">
        <v>1113</v>
      </c>
      <c r="Y123" t="s">
        <v>74</v>
      </c>
      <c r="Z123" t="s">
        <v>1114</v>
      </c>
      <c r="AA123" t="s">
        <v>1115</v>
      </c>
      <c r="AB123" t="s">
        <v>1116</v>
      </c>
      <c r="AC123" t="s">
        <v>74</v>
      </c>
      <c r="AD123" t="s">
        <v>74</v>
      </c>
      <c r="AE123" t="s">
        <v>74</v>
      </c>
      <c r="AF123" t="s">
        <v>74</v>
      </c>
      <c r="AG123">
        <v>0</v>
      </c>
      <c r="AH123">
        <v>3</v>
      </c>
      <c r="AI123">
        <v>3</v>
      </c>
      <c r="AJ123">
        <v>1</v>
      </c>
      <c r="AK123">
        <v>1</v>
      </c>
      <c r="AL123" t="s">
        <v>109</v>
      </c>
      <c r="AM123" t="s">
        <v>110</v>
      </c>
      <c r="AN123" t="s">
        <v>111</v>
      </c>
      <c r="AO123" t="s">
        <v>91</v>
      </c>
      <c r="AP123" t="s">
        <v>74</v>
      </c>
      <c r="AQ123" t="s">
        <v>74</v>
      </c>
      <c r="AR123" t="s">
        <v>93</v>
      </c>
      <c r="AS123" t="s">
        <v>94</v>
      </c>
      <c r="AT123" t="s">
        <v>95</v>
      </c>
      <c r="AU123">
        <v>2008</v>
      </c>
      <c r="AV123">
        <v>43</v>
      </c>
      <c r="AW123">
        <v>7</v>
      </c>
      <c r="AX123" t="s">
        <v>74</v>
      </c>
      <c r="AY123" t="s">
        <v>96</v>
      </c>
      <c r="AZ123" t="s">
        <v>74</v>
      </c>
      <c r="BA123" t="s">
        <v>74</v>
      </c>
      <c r="BB123" t="s">
        <v>1117</v>
      </c>
      <c r="BC123" t="s">
        <v>1117</v>
      </c>
      <c r="BD123" t="s">
        <v>74</v>
      </c>
      <c r="BE123" t="s">
        <v>74</v>
      </c>
      <c r="BF123" t="s">
        <v>74</v>
      </c>
      <c r="BG123" t="s">
        <v>74</v>
      </c>
      <c r="BH123" t="s">
        <v>74</v>
      </c>
      <c r="BI123">
        <v>1</v>
      </c>
      <c r="BJ123" t="s">
        <v>98</v>
      </c>
      <c r="BK123" t="s">
        <v>113</v>
      </c>
      <c r="BL123" t="s">
        <v>98</v>
      </c>
      <c r="BM123" t="s">
        <v>100</v>
      </c>
      <c r="BN123" t="s">
        <v>74</v>
      </c>
      <c r="BO123" t="s">
        <v>74</v>
      </c>
      <c r="BP123" t="s">
        <v>74</v>
      </c>
      <c r="BQ123" t="s">
        <v>74</v>
      </c>
      <c r="BR123" t="s">
        <v>101</v>
      </c>
      <c r="BS123" t="s">
        <v>1118</v>
      </c>
      <c r="BT123" t="str">
        <f>HYPERLINK("https%3A%2F%2Fwww.webofscience.com%2Fwos%2Fwoscc%2Ffull-record%2FWOS:000257683100141","View Full Record in Web of Science")</f>
        <v>View Full Record in Web of Science</v>
      </c>
    </row>
    <row r="124" spans="1:72" x14ac:dyDescent="0.15">
      <c r="A124" t="s">
        <v>72</v>
      </c>
      <c r="B124" t="s">
        <v>1119</v>
      </c>
      <c r="C124" t="s">
        <v>74</v>
      </c>
      <c r="D124" t="s">
        <v>74</v>
      </c>
      <c r="E124" t="s">
        <v>74</v>
      </c>
      <c r="F124" t="s">
        <v>1120</v>
      </c>
      <c r="G124" t="s">
        <v>74</v>
      </c>
      <c r="H124" t="s">
        <v>74</v>
      </c>
      <c r="I124" t="s">
        <v>1121</v>
      </c>
      <c r="J124" t="s">
        <v>77</v>
      </c>
      <c r="K124" t="s">
        <v>74</v>
      </c>
      <c r="L124" t="s">
        <v>74</v>
      </c>
      <c r="M124" t="s">
        <v>78</v>
      </c>
      <c r="N124" t="s">
        <v>52</v>
      </c>
      <c r="O124" t="s">
        <v>79</v>
      </c>
      <c r="P124" t="s">
        <v>80</v>
      </c>
      <c r="Q124" t="s">
        <v>81</v>
      </c>
      <c r="R124" t="s">
        <v>74</v>
      </c>
      <c r="S124" t="s">
        <v>82</v>
      </c>
      <c r="T124" t="s">
        <v>74</v>
      </c>
      <c r="U124" t="s">
        <v>1122</v>
      </c>
      <c r="V124" t="s">
        <v>74</v>
      </c>
      <c r="W124" t="s">
        <v>1123</v>
      </c>
      <c r="X124" t="s">
        <v>1124</v>
      </c>
      <c r="Y124" t="s">
        <v>74</v>
      </c>
      <c r="Z124" t="s">
        <v>1125</v>
      </c>
      <c r="AA124" t="s">
        <v>74</v>
      </c>
      <c r="AB124" t="s">
        <v>74</v>
      </c>
      <c r="AC124" t="s">
        <v>74</v>
      </c>
      <c r="AD124" t="s">
        <v>74</v>
      </c>
      <c r="AE124" t="s">
        <v>74</v>
      </c>
      <c r="AF124" t="s">
        <v>74</v>
      </c>
      <c r="AG124">
        <v>9</v>
      </c>
      <c r="AH124">
        <v>0</v>
      </c>
      <c r="AI124">
        <v>0</v>
      </c>
      <c r="AJ124">
        <v>0</v>
      </c>
      <c r="AK124">
        <v>0</v>
      </c>
      <c r="AL124" t="s">
        <v>149</v>
      </c>
      <c r="AM124" t="s">
        <v>150</v>
      </c>
      <c r="AN124" t="s">
        <v>151</v>
      </c>
      <c r="AO124" t="s">
        <v>91</v>
      </c>
      <c r="AP124" t="s">
        <v>74</v>
      </c>
      <c r="AQ124" t="s">
        <v>74</v>
      </c>
      <c r="AR124" t="s">
        <v>93</v>
      </c>
      <c r="AS124" t="s">
        <v>94</v>
      </c>
      <c r="AT124" t="s">
        <v>95</v>
      </c>
      <c r="AU124">
        <v>2008</v>
      </c>
      <c r="AV124">
        <v>43</v>
      </c>
      <c r="AW124">
        <v>7</v>
      </c>
      <c r="AX124" t="s">
        <v>74</v>
      </c>
      <c r="AY124" t="s">
        <v>96</v>
      </c>
      <c r="AZ124" t="s">
        <v>74</v>
      </c>
      <c r="BA124" t="s">
        <v>74</v>
      </c>
      <c r="BB124" t="s">
        <v>1117</v>
      </c>
      <c r="BC124" t="s">
        <v>1117</v>
      </c>
      <c r="BD124" t="s">
        <v>74</v>
      </c>
      <c r="BE124" t="s">
        <v>74</v>
      </c>
      <c r="BF124" t="s">
        <v>74</v>
      </c>
      <c r="BG124" t="s">
        <v>74</v>
      </c>
      <c r="BH124" t="s">
        <v>74</v>
      </c>
      <c r="BI124">
        <v>1</v>
      </c>
      <c r="BJ124" t="s">
        <v>98</v>
      </c>
      <c r="BK124" t="s">
        <v>99</v>
      </c>
      <c r="BL124" t="s">
        <v>98</v>
      </c>
      <c r="BM124" t="s">
        <v>100</v>
      </c>
      <c r="BN124" t="s">
        <v>74</v>
      </c>
      <c r="BO124" t="s">
        <v>74</v>
      </c>
      <c r="BP124" t="s">
        <v>74</v>
      </c>
      <c r="BQ124" t="s">
        <v>74</v>
      </c>
      <c r="BR124" t="s">
        <v>101</v>
      </c>
      <c r="BS124" t="s">
        <v>1126</v>
      </c>
      <c r="BT124" t="str">
        <f>HYPERLINK("https%3A%2F%2Fwww.webofscience.com%2Fwos%2Fwoscc%2Ffull-record%2FWOS:000257683100142","View Full Record in Web of Science")</f>
        <v>View Full Record in Web of Science</v>
      </c>
    </row>
    <row r="125" spans="1:72" x14ac:dyDescent="0.15">
      <c r="A125" t="s">
        <v>72</v>
      </c>
      <c r="B125" t="s">
        <v>1127</v>
      </c>
      <c r="C125" t="s">
        <v>74</v>
      </c>
      <c r="D125" t="s">
        <v>74</v>
      </c>
      <c r="E125" t="s">
        <v>74</v>
      </c>
      <c r="F125" t="s">
        <v>1128</v>
      </c>
      <c r="G125" t="s">
        <v>74</v>
      </c>
      <c r="H125" t="s">
        <v>74</v>
      </c>
      <c r="I125" t="s">
        <v>1129</v>
      </c>
      <c r="J125" t="s">
        <v>77</v>
      </c>
      <c r="K125" t="s">
        <v>74</v>
      </c>
      <c r="L125" t="s">
        <v>74</v>
      </c>
      <c r="M125" t="s">
        <v>78</v>
      </c>
      <c r="N125" t="s">
        <v>52</v>
      </c>
      <c r="O125" t="s">
        <v>79</v>
      </c>
      <c r="P125" t="s">
        <v>80</v>
      </c>
      <c r="Q125" t="s">
        <v>81</v>
      </c>
      <c r="R125" t="s">
        <v>74</v>
      </c>
      <c r="S125" t="s">
        <v>82</v>
      </c>
      <c r="T125" t="s">
        <v>74</v>
      </c>
      <c r="U125" t="s">
        <v>74</v>
      </c>
      <c r="V125" t="s">
        <v>74</v>
      </c>
      <c r="W125" t="s">
        <v>1130</v>
      </c>
      <c r="X125" t="s">
        <v>1131</v>
      </c>
      <c r="Y125" t="s">
        <v>74</v>
      </c>
      <c r="Z125" t="s">
        <v>1132</v>
      </c>
      <c r="AA125" t="s">
        <v>1133</v>
      </c>
      <c r="AB125" t="s">
        <v>74</v>
      </c>
      <c r="AC125" t="s">
        <v>74</v>
      </c>
      <c r="AD125" t="s">
        <v>74</v>
      </c>
      <c r="AE125" t="s">
        <v>74</v>
      </c>
      <c r="AF125" t="s">
        <v>74</v>
      </c>
      <c r="AG125">
        <v>3</v>
      </c>
      <c r="AH125">
        <v>2</v>
      </c>
      <c r="AI125">
        <v>2</v>
      </c>
      <c r="AJ125">
        <v>0</v>
      </c>
      <c r="AK125">
        <v>1</v>
      </c>
      <c r="AL125" t="s">
        <v>149</v>
      </c>
      <c r="AM125" t="s">
        <v>89</v>
      </c>
      <c r="AN125" t="s">
        <v>90</v>
      </c>
      <c r="AO125" t="s">
        <v>91</v>
      </c>
      <c r="AP125" t="s">
        <v>74</v>
      </c>
      <c r="AQ125" t="s">
        <v>74</v>
      </c>
      <c r="AR125" t="s">
        <v>93</v>
      </c>
      <c r="AS125" t="s">
        <v>94</v>
      </c>
      <c r="AT125" t="s">
        <v>95</v>
      </c>
      <c r="AU125">
        <v>2008</v>
      </c>
      <c r="AV125">
        <v>43</v>
      </c>
      <c r="AW125">
        <v>7</v>
      </c>
      <c r="AX125" t="s">
        <v>74</v>
      </c>
      <c r="AY125" t="s">
        <v>96</v>
      </c>
      <c r="AZ125" t="s">
        <v>74</v>
      </c>
      <c r="BA125" t="s">
        <v>74</v>
      </c>
      <c r="BB125" t="s">
        <v>1134</v>
      </c>
      <c r="BC125" t="s">
        <v>1134</v>
      </c>
      <c r="BD125" t="s">
        <v>74</v>
      </c>
      <c r="BE125" t="s">
        <v>74</v>
      </c>
      <c r="BF125" t="s">
        <v>74</v>
      </c>
      <c r="BG125" t="s">
        <v>74</v>
      </c>
      <c r="BH125" t="s">
        <v>74</v>
      </c>
      <c r="BI125">
        <v>1</v>
      </c>
      <c r="BJ125" t="s">
        <v>98</v>
      </c>
      <c r="BK125" t="s">
        <v>99</v>
      </c>
      <c r="BL125" t="s">
        <v>98</v>
      </c>
      <c r="BM125" t="s">
        <v>100</v>
      </c>
      <c r="BN125" t="s">
        <v>74</v>
      </c>
      <c r="BO125" t="s">
        <v>74</v>
      </c>
      <c r="BP125" t="s">
        <v>74</v>
      </c>
      <c r="BQ125" t="s">
        <v>74</v>
      </c>
      <c r="BR125" t="s">
        <v>101</v>
      </c>
      <c r="BS125" t="s">
        <v>1135</v>
      </c>
      <c r="BT125" t="str">
        <f>HYPERLINK("https%3A%2F%2Fwww.webofscience.com%2Fwos%2Fwoscc%2Ffull-record%2FWOS:000257683100143","View Full Record in Web of Science")</f>
        <v>View Full Record in Web of Science</v>
      </c>
    </row>
    <row r="126" spans="1:72" x14ac:dyDescent="0.15">
      <c r="A126" t="s">
        <v>72</v>
      </c>
      <c r="B126" t="s">
        <v>1136</v>
      </c>
      <c r="C126" t="s">
        <v>74</v>
      </c>
      <c r="D126" t="s">
        <v>74</v>
      </c>
      <c r="E126" t="s">
        <v>74</v>
      </c>
      <c r="F126" t="s">
        <v>1137</v>
      </c>
      <c r="G126" t="s">
        <v>74</v>
      </c>
      <c r="H126" t="s">
        <v>74</v>
      </c>
      <c r="I126" t="s">
        <v>1138</v>
      </c>
      <c r="J126" t="s">
        <v>77</v>
      </c>
      <c r="K126" t="s">
        <v>74</v>
      </c>
      <c r="L126" t="s">
        <v>74</v>
      </c>
      <c r="M126" t="s">
        <v>78</v>
      </c>
      <c r="N126" t="s">
        <v>52</v>
      </c>
      <c r="O126" t="s">
        <v>79</v>
      </c>
      <c r="P126" t="s">
        <v>80</v>
      </c>
      <c r="Q126" t="s">
        <v>81</v>
      </c>
      <c r="R126" t="s">
        <v>74</v>
      </c>
      <c r="S126" t="s">
        <v>82</v>
      </c>
      <c r="T126" t="s">
        <v>74</v>
      </c>
      <c r="U126" t="s">
        <v>1139</v>
      </c>
      <c r="V126" t="s">
        <v>74</v>
      </c>
      <c r="W126" t="s">
        <v>1140</v>
      </c>
      <c r="X126" t="s">
        <v>1131</v>
      </c>
      <c r="Y126" t="s">
        <v>74</v>
      </c>
      <c r="Z126" t="s">
        <v>1141</v>
      </c>
      <c r="AA126" t="s">
        <v>74</v>
      </c>
      <c r="AB126" t="s">
        <v>74</v>
      </c>
      <c r="AC126" t="s">
        <v>74</v>
      </c>
      <c r="AD126" t="s">
        <v>74</v>
      </c>
      <c r="AE126" t="s">
        <v>74</v>
      </c>
      <c r="AF126" t="s">
        <v>74</v>
      </c>
      <c r="AG126">
        <v>4</v>
      </c>
      <c r="AH126">
        <v>1</v>
      </c>
      <c r="AI126">
        <v>1</v>
      </c>
      <c r="AJ126">
        <v>0</v>
      </c>
      <c r="AK126">
        <v>0</v>
      </c>
      <c r="AL126" t="s">
        <v>88</v>
      </c>
      <c r="AM126" t="s">
        <v>89</v>
      </c>
      <c r="AN126" t="s">
        <v>90</v>
      </c>
      <c r="AO126" t="s">
        <v>91</v>
      </c>
      <c r="AP126" t="s">
        <v>92</v>
      </c>
      <c r="AQ126" t="s">
        <v>74</v>
      </c>
      <c r="AR126" t="s">
        <v>93</v>
      </c>
      <c r="AS126" t="s">
        <v>94</v>
      </c>
      <c r="AT126" t="s">
        <v>95</v>
      </c>
      <c r="AU126">
        <v>2008</v>
      </c>
      <c r="AV126">
        <v>43</v>
      </c>
      <c r="AW126">
        <v>7</v>
      </c>
      <c r="AX126" t="s">
        <v>74</v>
      </c>
      <c r="AY126" t="s">
        <v>96</v>
      </c>
      <c r="AZ126" t="s">
        <v>74</v>
      </c>
      <c r="BA126" t="s">
        <v>74</v>
      </c>
      <c r="BB126" t="s">
        <v>1134</v>
      </c>
      <c r="BC126" t="s">
        <v>1134</v>
      </c>
      <c r="BD126" t="s">
        <v>74</v>
      </c>
      <c r="BE126" t="s">
        <v>74</v>
      </c>
      <c r="BF126" t="s">
        <v>74</v>
      </c>
      <c r="BG126" t="s">
        <v>74</v>
      </c>
      <c r="BH126" t="s">
        <v>74</v>
      </c>
      <c r="BI126">
        <v>1</v>
      </c>
      <c r="BJ126" t="s">
        <v>98</v>
      </c>
      <c r="BK126" t="s">
        <v>99</v>
      </c>
      <c r="BL126" t="s">
        <v>98</v>
      </c>
      <c r="BM126" t="s">
        <v>100</v>
      </c>
      <c r="BN126" t="s">
        <v>74</v>
      </c>
      <c r="BO126" t="s">
        <v>74</v>
      </c>
      <c r="BP126" t="s">
        <v>74</v>
      </c>
      <c r="BQ126" t="s">
        <v>74</v>
      </c>
      <c r="BR126" t="s">
        <v>101</v>
      </c>
      <c r="BS126" t="s">
        <v>1142</v>
      </c>
      <c r="BT126" t="str">
        <f>HYPERLINK("https%3A%2F%2Fwww.webofscience.com%2Fwos%2Fwoscc%2Ffull-record%2FWOS:000257683100144","View Full Record in Web of Science")</f>
        <v>View Full Record in Web of Science</v>
      </c>
    </row>
    <row r="127" spans="1:72" x14ac:dyDescent="0.15">
      <c r="A127" t="s">
        <v>72</v>
      </c>
      <c r="B127" t="s">
        <v>1143</v>
      </c>
      <c r="C127" t="s">
        <v>74</v>
      </c>
      <c r="D127" t="s">
        <v>74</v>
      </c>
      <c r="E127" t="s">
        <v>74</v>
      </c>
      <c r="F127" t="s">
        <v>1144</v>
      </c>
      <c r="G127" t="s">
        <v>74</v>
      </c>
      <c r="H127" t="s">
        <v>74</v>
      </c>
      <c r="I127" t="s">
        <v>1145</v>
      </c>
      <c r="J127" t="s">
        <v>77</v>
      </c>
      <c r="K127" t="s">
        <v>74</v>
      </c>
      <c r="L127" t="s">
        <v>74</v>
      </c>
      <c r="M127" t="s">
        <v>78</v>
      </c>
      <c r="N127" t="s">
        <v>52</v>
      </c>
      <c r="O127" t="s">
        <v>79</v>
      </c>
      <c r="P127" t="s">
        <v>80</v>
      </c>
      <c r="Q127" t="s">
        <v>81</v>
      </c>
      <c r="R127" t="s">
        <v>74</v>
      </c>
      <c r="S127" t="s">
        <v>82</v>
      </c>
      <c r="T127" t="s">
        <v>74</v>
      </c>
      <c r="U127" t="s">
        <v>74</v>
      </c>
      <c r="V127" t="s">
        <v>74</v>
      </c>
      <c r="W127" t="s">
        <v>1146</v>
      </c>
      <c r="X127" t="s">
        <v>1147</v>
      </c>
      <c r="Y127" t="s">
        <v>74</v>
      </c>
      <c r="Z127" t="s">
        <v>1148</v>
      </c>
      <c r="AA127" t="s">
        <v>74</v>
      </c>
      <c r="AB127" t="s">
        <v>74</v>
      </c>
      <c r="AC127" t="s">
        <v>74</v>
      </c>
      <c r="AD127" t="s">
        <v>74</v>
      </c>
      <c r="AE127" t="s">
        <v>74</v>
      </c>
      <c r="AF127" t="s">
        <v>74</v>
      </c>
      <c r="AG127">
        <v>8</v>
      </c>
      <c r="AH127">
        <v>0</v>
      </c>
      <c r="AI127">
        <v>0</v>
      </c>
      <c r="AJ127">
        <v>0</v>
      </c>
      <c r="AK127">
        <v>0</v>
      </c>
      <c r="AL127" t="s">
        <v>109</v>
      </c>
      <c r="AM127" t="s">
        <v>110</v>
      </c>
      <c r="AN127" t="s">
        <v>111</v>
      </c>
      <c r="AO127" t="s">
        <v>91</v>
      </c>
      <c r="AP127" t="s">
        <v>74</v>
      </c>
      <c r="AQ127" t="s">
        <v>74</v>
      </c>
      <c r="AR127" t="s">
        <v>93</v>
      </c>
      <c r="AS127" t="s">
        <v>94</v>
      </c>
      <c r="AT127" t="s">
        <v>95</v>
      </c>
      <c r="AU127">
        <v>2008</v>
      </c>
      <c r="AV127">
        <v>43</v>
      </c>
      <c r="AW127">
        <v>7</v>
      </c>
      <c r="AX127" t="s">
        <v>74</v>
      </c>
      <c r="AY127" t="s">
        <v>96</v>
      </c>
      <c r="AZ127" t="s">
        <v>74</v>
      </c>
      <c r="BA127" t="s">
        <v>74</v>
      </c>
      <c r="BB127" t="s">
        <v>1149</v>
      </c>
      <c r="BC127" t="s">
        <v>1149</v>
      </c>
      <c r="BD127" t="s">
        <v>74</v>
      </c>
      <c r="BE127" t="s">
        <v>74</v>
      </c>
      <c r="BF127" t="s">
        <v>74</v>
      </c>
      <c r="BG127" t="s">
        <v>74</v>
      </c>
      <c r="BH127" t="s">
        <v>74</v>
      </c>
      <c r="BI127">
        <v>1</v>
      </c>
      <c r="BJ127" t="s">
        <v>98</v>
      </c>
      <c r="BK127" t="s">
        <v>113</v>
      </c>
      <c r="BL127" t="s">
        <v>98</v>
      </c>
      <c r="BM127" t="s">
        <v>100</v>
      </c>
      <c r="BN127" t="s">
        <v>74</v>
      </c>
      <c r="BO127" t="s">
        <v>74</v>
      </c>
      <c r="BP127" t="s">
        <v>74</v>
      </c>
      <c r="BQ127" t="s">
        <v>74</v>
      </c>
      <c r="BR127" t="s">
        <v>101</v>
      </c>
      <c r="BS127" t="s">
        <v>1150</v>
      </c>
      <c r="BT127" t="str">
        <f>HYPERLINK("https%3A%2F%2Fwww.webofscience.com%2Fwos%2Fwoscc%2Ffull-record%2FWOS:000257683100145","View Full Record in Web of Science")</f>
        <v>View Full Record in Web of Science</v>
      </c>
    </row>
    <row r="128" spans="1:72" x14ac:dyDescent="0.15">
      <c r="A128" t="s">
        <v>72</v>
      </c>
      <c r="B128" t="s">
        <v>1151</v>
      </c>
      <c r="C128" t="s">
        <v>74</v>
      </c>
      <c r="D128" t="s">
        <v>74</v>
      </c>
      <c r="E128" t="s">
        <v>74</v>
      </c>
      <c r="F128" t="s">
        <v>1152</v>
      </c>
      <c r="G128" t="s">
        <v>74</v>
      </c>
      <c r="H128" t="s">
        <v>74</v>
      </c>
      <c r="I128" t="s">
        <v>1153</v>
      </c>
      <c r="J128" t="s">
        <v>77</v>
      </c>
      <c r="K128" t="s">
        <v>74</v>
      </c>
      <c r="L128" t="s">
        <v>74</v>
      </c>
      <c r="M128" t="s">
        <v>78</v>
      </c>
      <c r="N128" t="s">
        <v>52</v>
      </c>
      <c r="O128" t="s">
        <v>79</v>
      </c>
      <c r="P128" t="s">
        <v>80</v>
      </c>
      <c r="Q128" t="s">
        <v>81</v>
      </c>
      <c r="R128" t="s">
        <v>74</v>
      </c>
      <c r="S128" t="s">
        <v>82</v>
      </c>
      <c r="T128" t="s">
        <v>74</v>
      </c>
      <c r="U128" t="s">
        <v>74</v>
      </c>
      <c r="V128" t="s">
        <v>74</v>
      </c>
      <c r="W128" t="s">
        <v>1154</v>
      </c>
      <c r="X128" t="s">
        <v>1155</v>
      </c>
      <c r="Y128" t="s">
        <v>74</v>
      </c>
      <c r="Z128" t="s">
        <v>1156</v>
      </c>
      <c r="AA128" t="s">
        <v>1157</v>
      </c>
      <c r="AB128" t="s">
        <v>74</v>
      </c>
      <c r="AC128" t="s">
        <v>74</v>
      </c>
      <c r="AD128" t="s">
        <v>74</v>
      </c>
      <c r="AE128" t="s">
        <v>74</v>
      </c>
      <c r="AF128" t="s">
        <v>74</v>
      </c>
      <c r="AG128">
        <v>2</v>
      </c>
      <c r="AH128">
        <v>0</v>
      </c>
      <c r="AI128">
        <v>0</v>
      </c>
      <c r="AJ128">
        <v>0</v>
      </c>
      <c r="AK128">
        <v>1</v>
      </c>
      <c r="AL128" t="s">
        <v>109</v>
      </c>
      <c r="AM128" t="s">
        <v>110</v>
      </c>
      <c r="AN128" t="s">
        <v>111</v>
      </c>
      <c r="AO128" t="s">
        <v>91</v>
      </c>
      <c r="AP128" t="s">
        <v>74</v>
      </c>
      <c r="AQ128" t="s">
        <v>74</v>
      </c>
      <c r="AR128" t="s">
        <v>93</v>
      </c>
      <c r="AS128" t="s">
        <v>94</v>
      </c>
      <c r="AT128" t="s">
        <v>95</v>
      </c>
      <c r="AU128">
        <v>2008</v>
      </c>
      <c r="AV128">
        <v>43</v>
      </c>
      <c r="AW128">
        <v>7</v>
      </c>
      <c r="AX128" t="s">
        <v>74</v>
      </c>
      <c r="AY128" t="s">
        <v>96</v>
      </c>
      <c r="AZ128" t="s">
        <v>74</v>
      </c>
      <c r="BA128" t="s">
        <v>74</v>
      </c>
      <c r="BB128" t="s">
        <v>1149</v>
      </c>
      <c r="BC128" t="s">
        <v>1149</v>
      </c>
      <c r="BD128" t="s">
        <v>74</v>
      </c>
      <c r="BE128" t="s">
        <v>74</v>
      </c>
      <c r="BF128" t="s">
        <v>74</v>
      </c>
      <c r="BG128" t="s">
        <v>74</v>
      </c>
      <c r="BH128" t="s">
        <v>74</v>
      </c>
      <c r="BI128">
        <v>1</v>
      </c>
      <c r="BJ128" t="s">
        <v>98</v>
      </c>
      <c r="BK128" t="s">
        <v>113</v>
      </c>
      <c r="BL128" t="s">
        <v>98</v>
      </c>
      <c r="BM128" t="s">
        <v>100</v>
      </c>
      <c r="BN128" t="s">
        <v>74</v>
      </c>
      <c r="BO128" t="s">
        <v>74</v>
      </c>
      <c r="BP128" t="s">
        <v>74</v>
      </c>
      <c r="BQ128" t="s">
        <v>74</v>
      </c>
      <c r="BR128" t="s">
        <v>101</v>
      </c>
      <c r="BS128" t="s">
        <v>1158</v>
      </c>
      <c r="BT128" t="str">
        <f>HYPERLINK("https%3A%2F%2Fwww.webofscience.com%2Fwos%2Fwoscc%2Ffull-record%2FWOS:000257683100146","View Full Record in Web of Science")</f>
        <v>View Full Record in Web of Science</v>
      </c>
    </row>
    <row r="129" spans="1:72" x14ac:dyDescent="0.15">
      <c r="A129" t="s">
        <v>72</v>
      </c>
      <c r="B129" t="s">
        <v>1159</v>
      </c>
      <c r="C129" t="s">
        <v>74</v>
      </c>
      <c r="D129" t="s">
        <v>74</v>
      </c>
      <c r="E129" t="s">
        <v>74</v>
      </c>
      <c r="F129" t="s">
        <v>1160</v>
      </c>
      <c r="G129" t="s">
        <v>74</v>
      </c>
      <c r="H129" t="s">
        <v>74</v>
      </c>
      <c r="I129" t="s">
        <v>1161</v>
      </c>
      <c r="J129" t="s">
        <v>77</v>
      </c>
      <c r="K129" t="s">
        <v>74</v>
      </c>
      <c r="L129" t="s">
        <v>74</v>
      </c>
      <c r="M129" t="s">
        <v>78</v>
      </c>
      <c r="N129" t="s">
        <v>52</v>
      </c>
      <c r="O129" t="s">
        <v>79</v>
      </c>
      <c r="P129" t="s">
        <v>80</v>
      </c>
      <c r="Q129" t="s">
        <v>81</v>
      </c>
      <c r="R129" t="s">
        <v>74</v>
      </c>
      <c r="S129" t="s">
        <v>82</v>
      </c>
      <c r="T129" t="s">
        <v>74</v>
      </c>
      <c r="U129" t="s">
        <v>157</v>
      </c>
      <c r="V129" t="s">
        <v>74</v>
      </c>
      <c r="W129" t="s">
        <v>1162</v>
      </c>
      <c r="X129" t="s">
        <v>1163</v>
      </c>
      <c r="Y129" t="s">
        <v>74</v>
      </c>
      <c r="Z129" t="s">
        <v>1164</v>
      </c>
      <c r="AA129" t="s">
        <v>1165</v>
      </c>
      <c r="AB129" t="s">
        <v>1166</v>
      </c>
      <c r="AC129" t="s">
        <v>74</v>
      </c>
      <c r="AD129" t="s">
        <v>74</v>
      </c>
      <c r="AE129" t="s">
        <v>74</v>
      </c>
      <c r="AF129" t="s">
        <v>74</v>
      </c>
      <c r="AG129">
        <v>5</v>
      </c>
      <c r="AH129">
        <v>1</v>
      </c>
      <c r="AI129">
        <v>1</v>
      </c>
      <c r="AJ129">
        <v>0</v>
      </c>
      <c r="AK129">
        <v>1</v>
      </c>
      <c r="AL129" t="s">
        <v>149</v>
      </c>
      <c r="AM129" t="s">
        <v>150</v>
      </c>
      <c r="AN129" t="s">
        <v>151</v>
      </c>
      <c r="AO129" t="s">
        <v>91</v>
      </c>
      <c r="AP129" t="s">
        <v>74</v>
      </c>
      <c r="AQ129" t="s">
        <v>74</v>
      </c>
      <c r="AR129" t="s">
        <v>93</v>
      </c>
      <c r="AS129" t="s">
        <v>94</v>
      </c>
      <c r="AT129" t="s">
        <v>95</v>
      </c>
      <c r="AU129">
        <v>2008</v>
      </c>
      <c r="AV129">
        <v>43</v>
      </c>
      <c r="AW129">
        <v>7</v>
      </c>
      <c r="AX129" t="s">
        <v>74</v>
      </c>
      <c r="AY129" t="s">
        <v>96</v>
      </c>
      <c r="AZ129" t="s">
        <v>74</v>
      </c>
      <c r="BA129" t="s">
        <v>74</v>
      </c>
      <c r="BB129" t="s">
        <v>1167</v>
      </c>
      <c r="BC129" t="s">
        <v>1167</v>
      </c>
      <c r="BD129" t="s">
        <v>74</v>
      </c>
      <c r="BE129" t="s">
        <v>74</v>
      </c>
      <c r="BF129" t="s">
        <v>74</v>
      </c>
      <c r="BG129" t="s">
        <v>74</v>
      </c>
      <c r="BH129" t="s">
        <v>74</v>
      </c>
      <c r="BI129">
        <v>1</v>
      </c>
      <c r="BJ129" t="s">
        <v>98</v>
      </c>
      <c r="BK129" t="s">
        <v>99</v>
      </c>
      <c r="BL129" t="s">
        <v>98</v>
      </c>
      <c r="BM129" t="s">
        <v>100</v>
      </c>
      <c r="BN129" t="s">
        <v>74</v>
      </c>
      <c r="BO129" t="s">
        <v>74</v>
      </c>
      <c r="BP129" t="s">
        <v>74</v>
      </c>
      <c r="BQ129" t="s">
        <v>74</v>
      </c>
      <c r="BR129" t="s">
        <v>101</v>
      </c>
      <c r="BS129" t="s">
        <v>1168</v>
      </c>
      <c r="BT129" t="str">
        <f>HYPERLINK("https%3A%2F%2Fwww.webofscience.com%2Fwos%2Fwoscc%2Ffull-record%2FWOS:000257683100147","View Full Record in Web of Science")</f>
        <v>View Full Record in Web of Science</v>
      </c>
    </row>
    <row r="130" spans="1:72" x14ac:dyDescent="0.15">
      <c r="A130" t="s">
        <v>72</v>
      </c>
      <c r="B130" t="s">
        <v>1169</v>
      </c>
      <c r="C130" t="s">
        <v>74</v>
      </c>
      <c r="D130" t="s">
        <v>74</v>
      </c>
      <c r="E130" t="s">
        <v>74</v>
      </c>
      <c r="F130" t="s">
        <v>1170</v>
      </c>
      <c r="G130" t="s">
        <v>74</v>
      </c>
      <c r="H130" t="s">
        <v>74</v>
      </c>
      <c r="I130" t="s">
        <v>1171</v>
      </c>
      <c r="J130" t="s">
        <v>77</v>
      </c>
      <c r="K130" t="s">
        <v>74</v>
      </c>
      <c r="L130" t="s">
        <v>74</v>
      </c>
      <c r="M130" t="s">
        <v>78</v>
      </c>
      <c r="N130" t="s">
        <v>52</v>
      </c>
      <c r="O130" t="s">
        <v>79</v>
      </c>
      <c r="P130" t="s">
        <v>80</v>
      </c>
      <c r="Q130" t="s">
        <v>81</v>
      </c>
      <c r="R130" t="s">
        <v>74</v>
      </c>
      <c r="S130" t="s">
        <v>82</v>
      </c>
      <c r="T130" t="s">
        <v>74</v>
      </c>
      <c r="U130" t="s">
        <v>1172</v>
      </c>
      <c r="V130" t="s">
        <v>74</v>
      </c>
      <c r="W130" t="s">
        <v>1173</v>
      </c>
      <c r="X130" t="s">
        <v>1174</v>
      </c>
      <c r="Y130" t="s">
        <v>74</v>
      </c>
      <c r="Z130" t="s">
        <v>1175</v>
      </c>
      <c r="AA130" t="s">
        <v>724</v>
      </c>
      <c r="AB130" t="s">
        <v>725</v>
      </c>
      <c r="AC130" t="s">
        <v>74</v>
      </c>
      <c r="AD130" t="s">
        <v>74</v>
      </c>
      <c r="AE130" t="s">
        <v>74</v>
      </c>
      <c r="AF130" t="s">
        <v>74</v>
      </c>
      <c r="AG130">
        <v>11</v>
      </c>
      <c r="AH130">
        <v>0</v>
      </c>
      <c r="AI130">
        <v>0</v>
      </c>
      <c r="AJ130">
        <v>0</v>
      </c>
      <c r="AK130">
        <v>0</v>
      </c>
      <c r="AL130" t="s">
        <v>88</v>
      </c>
      <c r="AM130" t="s">
        <v>89</v>
      </c>
      <c r="AN130" t="s">
        <v>90</v>
      </c>
      <c r="AO130" t="s">
        <v>91</v>
      </c>
      <c r="AP130" t="s">
        <v>92</v>
      </c>
      <c r="AQ130" t="s">
        <v>74</v>
      </c>
      <c r="AR130" t="s">
        <v>93</v>
      </c>
      <c r="AS130" t="s">
        <v>94</v>
      </c>
      <c r="AT130" t="s">
        <v>95</v>
      </c>
      <c r="AU130">
        <v>2008</v>
      </c>
      <c r="AV130">
        <v>43</v>
      </c>
      <c r="AW130">
        <v>7</v>
      </c>
      <c r="AX130" t="s">
        <v>74</v>
      </c>
      <c r="AY130" t="s">
        <v>96</v>
      </c>
      <c r="AZ130" t="s">
        <v>74</v>
      </c>
      <c r="BA130" t="s">
        <v>74</v>
      </c>
      <c r="BB130" t="s">
        <v>1167</v>
      </c>
      <c r="BC130" t="s">
        <v>1167</v>
      </c>
      <c r="BD130" t="s">
        <v>74</v>
      </c>
      <c r="BE130" t="s">
        <v>74</v>
      </c>
      <c r="BF130" t="s">
        <v>74</v>
      </c>
      <c r="BG130" t="s">
        <v>74</v>
      </c>
      <c r="BH130" t="s">
        <v>74</v>
      </c>
      <c r="BI130">
        <v>1</v>
      </c>
      <c r="BJ130" t="s">
        <v>98</v>
      </c>
      <c r="BK130" t="s">
        <v>99</v>
      </c>
      <c r="BL130" t="s">
        <v>98</v>
      </c>
      <c r="BM130" t="s">
        <v>100</v>
      </c>
      <c r="BN130" t="s">
        <v>74</v>
      </c>
      <c r="BO130" t="s">
        <v>74</v>
      </c>
      <c r="BP130" t="s">
        <v>74</v>
      </c>
      <c r="BQ130" t="s">
        <v>74</v>
      </c>
      <c r="BR130" t="s">
        <v>101</v>
      </c>
      <c r="BS130" t="s">
        <v>1176</v>
      </c>
      <c r="BT130" t="str">
        <f>HYPERLINK("https%3A%2F%2Fwww.webofscience.com%2Fwos%2Fwoscc%2Ffull-record%2FWOS:000257683100148","View Full Record in Web of Science")</f>
        <v>View Full Record in Web of Science</v>
      </c>
    </row>
    <row r="131" spans="1:72" x14ac:dyDescent="0.15">
      <c r="A131" t="s">
        <v>72</v>
      </c>
      <c r="B131" t="s">
        <v>1177</v>
      </c>
      <c r="C131" t="s">
        <v>74</v>
      </c>
      <c r="D131" t="s">
        <v>74</v>
      </c>
      <c r="E131" t="s">
        <v>74</v>
      </c>
      <c r="F131" t="s">
        <v>1178</v>
      </c>
      <c r="G131" t="s">
        <v>74</v>
      </c>
      <c r="H131" t="s">
        <v>74</v>
      </c>
      <c r="I131" t="s">
        <v>1179</v>
      </c>
      <c r="J131" t="s">
        <v>77</v>
      </c>
      <c r="K131" t="s">
        <v>74</v>
      </c>
      <c r="L131" t="s">
        <v>74</v>
      </c>
      <c r="M131" t="s">
        <v>78</v>
      </c>
      <c r="N131" t="s">
        <v>52</v>
      </c>
      <c r="O131" t="s">
        <v>79</v>
      </c>
      <c r="P131" t="s">
        <v>80</v>
      </c>
      <c r="Q131" t="s">
        <v>81</v>
      </c>
      <c r="R131" t="s">
        <v>74</v>
      </c>
      <c r="S131" t="s">
        <v>82</v>
      </c>
      <c r="T131" t="s">
        <v>74</v>
      </c>
      <c r="U131" t="s">
        <v>1180</v>
      </c>
      <c r="V131" t="s">
        <v>74</v>
      </c>
      <c r="W131" t="s">
        <v>1181</v>
      </c>
      <c r="X131" t="s">
        <v>394</v>
      </c>
      <c r="Y131" t="s">
        <v>74</v>
      </c>
      <c r="Z131" t="s">
        <v>395</v>
      </c>
      <c r="AA131" t="s">
        <v>1182</v>
      </c>
      <c r="AB131" t="s">
        <v>1183</v>
      </c>
      <c r="AC131" t="s">
        <v>74</v>
      </c>
      <c r="AD131" t="s">
        <v>74</v>
      </c>
      <c r="AE131" t="s">
        <v>74</v>
      </c>
      <c r="AF131" t="s">
        <v>74</v>
      </c>
      <c r="AG131">
        <v>5</v>
      </c>
      <c r="AH131">
        <v>1</v>
      </c>
      <c r="AI131">
        <v>1</v>
      </c>
      <c r="AJ131">
        <v>0</v>
      </c>
      <c r="AK131">
        <v>2</v>
      </c>
      <c r="AL131" t="s">
        <v>109</v>
      </c>
      <c r="AM131" t="s">
        <v>110</v>
      </c>
      <c r="AN131" t="s">
        <v>111</v>
      </c>
      <c r="AO131" t="s">
        <v>91</v>
      </c>
      <c r="AP131" t="s">
        <v>74</v>
      </c>
      <c r="AQ131" t="s">
        <v>74</v>
      </c>
      <c r="AR131" t="s">
        <v>93</v>
      </c>
      <c r="AS131" t="s">
        <v>94</v>
      </c>
      <c r="AT131" t="s">
        <v>95</v>
      </c>
      <c r="AU131">
        <v>2008</v>
      </c>
      <c r="AV131">
        <v>43</v>
      </c>
      <c r="AW131">
        <v>7</v>
      </c>
      <c r="AX131" t="s">
        <v>74</v>
      </c>
      <c r="AY131" t="s">
        <v>96</v>
      </c>
      <c r="AZ131" t="s">
        <v>74</v>
      </c>
      <c r="BA131" t="s">
        <v>74</v>
      </c>
      <c r="BB131" t="s">
        <v>1102</v>
      </c>
      <c r="BC131" t="s">
        <v>1102</v>
      </c>
      <c r="BD131" t="s">
        <v>74</v>
      </c>
      <c r="BE131" t="s">
        <v>74</v>
      </c>
      <c r="BF131" t="s">
        <v>74</v>
      </c>
      <c r="BG131" t="s">
        <v>74</v>
      </c>
      <c r="BH131" t="s">
        <v>74</v>
      </c>
      <c r="BI131">
        <v>1</v>
      </c>
      <c r="BJ131" t="s">
        <v>98</v>
      </c>
      <c r="BK131" t="s">
        <v>113</v>
      </c>
      <c r="BL131" t="s">
        <v>98</v>
      </c>
      <c r="BM131" t="s">
        <v>100</v>
      </c>
      <c r="BN131" t="s">
        <v>74</v>
      </c>
      <c r="BO131" t="s">
        <v>74</v>
      </c>
      <c r="BP131" t="s">
        <v>74</v>
      </c>
      <c r="BQ131" t="s">
        <v>74</v>
      </c>
      <c r="BR131" t="s">
        <v>101</v>
      </c>
      <c r="BS131" t="s">
        <v>1184</v>
      </c>
      <c r="BT131" t="str">
        <f>HYPERLINK("https%3A%2F%2Fwww.webofscience.com%2Fwos%2Fwoscc%2Ffull-record%2FWOS:000257683100347","View Full Record in Web of Science")</f>
        <v>View Full Record in Web of Science</v>
      </c>
    </row>
    <row r="132" spans="1:72" x14ac:dyDescent="0.15">
      <c r="A132" t="s">
        <v>72</v>
      </c>
      <c r="B132" t="s">
        <v>1185</v>
      </c>
      <c r="C132" t="s">
        <v>74</v>
      </c>
      <c r="D132" t="s">
        <v>74</v>
      </c>
      <c r="E132" t="s">
        <v>74</v>
      </c>
      <c r="F132" t="s">
        <v>1186</v>
      </c>
      <c r="G132" t="s">
        <v>74</v>
      </c>
      <c r="H132" t="s">
        <v>74</v>
      </c>
      <c r="I132" t="s">
        <v>1187</v>
      </c>
      <c r="J132" t="s">
        <v>77</v>
      </c>
      <c r="K132" t="s">
        <v>74</v>
      </c>
      <c r="L132" t="s">
        <v>74</v>
      </c>
      <c r="M132" t="s">
        <v>78</v>
      </c>
      <c r="N132" t="s">
        <v>52</v>
      </c>
      <c r="O132" t="s">
        <v>79</v>
      </c>
      <c r="P132" t="s">
        <v>80</v>
      </c>
      <c r="Q132" t="s">
        <v>81</v>
      </c>
      <c r="R132" t="s">
        <v>74</v>
      </c>
      <c r="S132" t="s">
        <v>82</v>
      </c>
      <c r="T132" t="s">
        <v>74</v>
      </c>
      <c r="U132" t="s">
        <v>1188</v>
      </c>
      <c r="V132" t="s">
        <v>74</v>
      </c>
      <c r="W132" t="s">
        <v>1189</v>
      </c>
      <c r="X132" t="s">
        <v>1190</v>
      </c>
      <c r="Y132" t="s">
        <v>74</v>
      </c>
      <c r="Z132" t="s">
        <v>395</v>
      </c>
      <c r="AA132" t="s">
        <v>1191</v>
      </c>
      <c r="AB132" t="s">
        <v>74</v>
      </c>
      <c r="AC132" t="s">
        <v>74</v>
      </c>
      <c r="AD132" t="s">
        <v>74</v>
      </c>
      <c r="AE132" t="s">
        <v>74</v>
      </c>
      <c r="AF132" t="s">
        <v>74</v>
      </c>
      <c r="AG132">
        <v>7</v>
      </c>
      <c r="AH132">
        <v>3</v>
      </c>
      <c r="AI132">
        <v>6</v>
      </c>
      <c r="AJ132">
        <v>0</v>
      </c>
      <c r="AK132">
        <v>2</v>
      </c>
      <c r="AL132" t="s">
        <v>149</v>
      </c>
      <c r="AM132" t="s">
        <v>150</v>
      </c>
      <c r="AN132" t="s">
        <v>151</v>
      </c>
      <c r="AO132" t="s">
        <v>91</v>
      </c>
      <c r="AP132" t="s">
        <v>74</v>
      </c>
      <c r="AQ132" t="s">
        <v>74</v>
      </c>
      <c r="AR132" t="s">
        <v>93</v>
      </c>
      <c r="AS132" t="s">
        <v>94</v>
      </c>
      <c r="AT132" t="s">
        <v>95</v>
      </c>
      <c r="AU132">
        <v>2008</v>
      </c>
      <c r="AV132">
        <v>43</v>
      </c>
      <c r="AW132">
        <v>7</v>
      </c>
      <c r="AX132" t="s">
        <v>74</v>
      </c>
      <c r="AY132" t="s">
        <v>96</v>
      </c>
      <c r="AZ132" t="s">
        <v>74</v>
      </c>
      <c r="BA132" t="s">
        <v>74</v>
      </c>
      <c r="BB132" t="s">
        <v>1192</v>
      </c>
      <c r="BC132" t="s">
        <v>1192</v>
      </c>
      <c r="BD132" t="s">
        <v>74</v>
      </c>
      <c r="BE132" t="s">
        <v>74</v>
      </c>
      <c r="BF132" t="s">
        <v>74</v>
      </c>
      <c r="BG132" t="s">
        <v>74</v>
      </c>
      <c r="BH132" t="s">
        <v>74</v>
      </c>
      <c r="BI132">
        <v>1</v>
      </c>
      <c r="BJ132" t="s">
        <v>98</v>
      </c>
      <c r="BK132" t="s">
        <v>99</v>
      </c>
      <c r="BL132" t="s">
        <v>98</v>
      </c>
      <c r="BM132" t="s">
        <v>100</v>
      </c>
      <c r="BN132" t="s">
        <v>74</v>
      </c>
      <c r="BO132" t="s">
        <v>74</v>
      </c>
      <c r="BP132" t="s">
        <v>74</v>
      </c>
      <c r="BQ132" t="s">
        <v>74</v>
      </c>
      <c r="BR132" t="s">
        <v>101</v>
      </c>
      <c r="BS132" t="s">
        <v>1193</v>
      </c>
      <c r="BT132" t="str">
        <f>HYPERLINK("https%3A%2F%2Fwww.webofscience.com%2Fwos%2Fwoscc%2Ffull-record%2FWOS:000257683100149","View Full Record in Web of Science")</f>
        <v>View Full Record in Web of Science</v>
      </c>
    </row>
    <row r="133" spans="1:72" x14ac:dyDescent="0.15">
      <c r="A133" t="s">
        <v>72</v>
      </c>
      <c r="B133" t="s">
        <v>1194</v>
      </c>
      <c r="C133" t="s">
        <v>74</v>
      </c>
      <c r="D133" t="s">
        <v>74</v>
      </c>
      <c r="E133" t="s">
        <v>74</v>
      </c>
      <c r="F133" t="s">
        <v>1195</v>
      </c>
      <c r="G133" t="s">
        <v>74</v>
      </c>
      <c r="H133" t="s">
        <v>74</v>
      </c>
      <c r="I133" t="s">
        <v>1196</v>
      </c>
      <c r="J133" t="s">
        <v>77</v>
      </c>
      <c r="K133" t="s">
        <v>74</v>
      </c>
      <c r="L133" t="s">
        <v>74</v>
      </c>
      <c r="M133" t="s">
        <v>78</v>
      </c>
      <c r="N133" t="s">
        <v>52</v>
      </c>
      <c r="O133" t="s">
        <v>79</v>
      </c>
      <c r="P133" t="s">
        <v>80</v>
      </c>
      <c r="Q133" t="s">
        <v>81</v>
      </c>
      <c r="R133" t="s">
        <v>74</v>
      </c>
      <c r="S133" t="s">
        <v>82</v>
      </c>
      <c r="T133" t="s">
        <v>74</v>
      </c>
      <c r="U133" t="s">
        <v>1197</v>
      </c>
      <c r="V133" t="s">
        <v>74</v>
      </c>
      <c r="W133" t="s">
        <v>1198</v>
      </c>
      <c r="X133" t="s">
        <v>385</v>
      </c>
      <c r="Y133" t="s">
        <v>74</v>
      </c>
      <c r="Z133" t="s">
        <v>1199</v>
      </c>
      <c r="AA133" t="s">
        <v>74</v>
      </c>
      <c r="AB133" t="s">
        <v>74</v>
      </c>
      <c r="AC133" t="s">
        <v>74</v>
      </c>
      <c r="AD133" t="s">
        <v>74</v>
      </c>
      <c r="AE133" t="s">
        <v>74</v>
      </c>
      <c r="AF133" t="s">
        <v>74</v>
      </c>
      <c r="AG133">
        <v>15</v>
      </c>
      <c r="AH133">
        <v>0</v>
      </c>
      <c r="AI133">
        <v>0</v>
      </c>
      <c r="AJ133">
        <v>0</v>
      </c>
      <c r="AK133">
        <v>2</v>
      </c>
      <c r="AL133" t="s">
        <v>109</v>
      </c>
      <c r="AM133" t="s">
        <v>110</v>
      </c>
      <c r="AN133" t="s">
        <v>111</v>
      </c>
      <c r="AO133" t="s">
        <v>91</v>
      </c>
      <c r="AP133" t="s">
        <v>74</v>
      </c>
      <c r="AQ133" t="s">
        <v>74</v>
      </c>
      <c r="AR133" t="s">
        <v>93</v>
      </c>
      <c r="AS133" t="s">
        <v>94</v>
      </c>
      <c r="AT133" t="s">
        <v>95</v>
      </c>
      <c r="AU133">
        <v>2008</v>
      </c>
      <c r="AV133">
        <v>43</v>
      </c>
      <c r="AW133">
        <v>7</v>
      </c>
      <c r="AX133" t="s">
        <v>74</v>
      </c>
      <c r="AY133" t="s">
        <v>96</v>
      </c>
      <c r="AZ133" t="s">
        <v>74</v>
      </c>
      <c r="BA133" t="s">
        <v>74</v>
      </c>
      <c r="BB133" t="s">
        <v>1192</v>
      </c>
      <c r="BC133" t="s">
        <v>1192</v>
      </c>
      <c r="BD133" t="s">
        <v>74</v>
      </c>
      <c r="BE133" t="s">
        <v>74</v>
      </c>
      <c r="BF133" t="s">
        <v>74</v>
      </c>
      <c r="BG133" t="s">
        <v>74</v>
      </c>
      <c r="BH133" t="s">
        <v>74</v>
      </c>
      <c r="BI133">
        <v>1</v>
      </c>
      <c r="BJ133" t="s">
        <v>98</v>
      </c>
      <c r="BK133" t="s">
        <v>113</v>
      </c>
      <c r="BL133" t="s">
        <v>98</v>
      </c>
      <c r="BM133" t="s">
        <v>100</v>
      </c>
      <c r="BN133" t="s">
        <v>74</v>
      </c>
      <c r="BO133" t="s">
        <v>74</v>
      </c>
      <c r="BP133" t="s">
        <v>74</v>
      </c>
      <c r="BQ133" t="s">
        <v>74</v>
      </c>
      <c r="BR133" t="s">
        <v>101</v>
      </c>
      <c r="BS133" t="s">
        <v>1200</v>
      </c>
      <c r="BT133" t="str">
        <f>HYPERLINK("https%3A%2F%2Fwww.webofscience.com%2Fwos%2Fwoscc%2Ffull-record%2FWOS:000257683100150","View Full Record in Web of Science")</f>
        <v>View Full Record in Web of Science</v>
      </c>
    </row>
    <row r="134" spans="1:72" x14ac:dyDescent="0.15">
      <c r="A134" t="s">
        <v>72</v>
      </c>
      <c r="B134" t="s">
        <v>1201</v>
      </c>
      <c r="C134" t="s">
        <v>74</v>
      </c>
      <c r="D134" t="s">
        <v>74</v>
      </c>
      <c r="E134" t="s">
        <v>74</v>
      </c>
      <c r="F134" t="s">
        <v>1202</v>
      </c>
      <c r="G134" t="s">
        <v>74</v>
      </c>
      <c r="H134" t="s">
        <v>74</v>
      </c>
      <c r="I134" t="s">
        <v>1203</v>
      </c>
      <c r="J134" t="s">
        <v>77</v>
      </c>
      <c r="K134" t="s">
        <v>74</v>
      </c>
      <c r="L134" t="s">
        <v>74</v>
      </c>
      <c r="M134" t="s">
        <v>78</v>
      </c>
      <c r="N134" t="s">
        <v>52</v>
      </c>
      <c r="O134" t="s">
        <v>79</v>
      </c>
      <c r="P134" t="s">
        <v>80</v>
      </c>
      <c r="Q134" t="s">
        <v>81</v>
      </c>
      <c r="R134" t="s">
        <v>74</v>
      </c>
      <c r="S134" t="s">
        <v>82</v>
      </c>
      <c r="T134" t="s">
        <v>74</v>
      </c>
      <c r="U134" t="s">
        <v>1204</v>
      </c>
      <c r="V134" t="s">
        <v>74</v>
      </c>
      <c r="W134" t="s">
        <v>1205</v>
      </c>
      <c r="X134" t="s">
        <v>1206</v>
      </c>
      <c r="Y134" t="s">
        <v>74</v>
      </c>
      <c r="Z134" t="s">
        <v>1207</v>
      </c>
      <c r="AA134" t="s">
        <v>74</v>
      </c>
      <c r="AB134" t="s">
        <v>74</v>
      </c>
      <c r="AC134" t="s">
        <v>74</v>
      </c>
      <c r="AD134" t="s">
        <v>74</v>
      </c>
      <c r="AE134" t="s">
        <v>74</v>
      </c>
      <c r="AF134" t="s">
        <v>74</v>
      </c>
      <c r="AG134">
        <v>8</v>
      </c>
      <c r="AH134">
        <v>0</v>
      </c>
      <c r="AI134">
        <v>0</v>
      </c>
      <c r="AJ134">
        <v>0</v>
      </c>
      <c r="AK134">
        <v>1</v>
      </c>
      <c r="AL134" t="s">
        <v>109</v>
      </c>
      <c r="AM134" t="s">
        <v>110</v>
      </c>
      <c r="AN134" t="s">
        <v>111</v>
      </c>
      <c r="AO134" t="s">
        <v>91</v>
      </c>
      <c r="AP134" t="s">
        <v>74</v>
      </c>
      <c r="AQ134" t="s">
        <v>74</v>
      </c>
      <c r="AR134" t="s">
        <v>93</v>
      </c>
      <c r="AS134" t="s">
        <v>94</v>
      </c>
      <c r="AT134" t="s">
        <v>95</v>
      </c>
      <c r="AU134">
        <v>2008</v>
      </c>
      <c r="AV134">
        <v>43</v>
      </c>
      <c r="AW134">
        <v>7</v>
      </c>
      <c r="AX134" t="s">
        <v>74</v>
      </c>
      <c r="AY134" t="s">
        <v>96</v>
      </c>
      <c r="AZ134" t="s">
        <v>74</v>
      </c>
      <c r="BA134" t="s">
        <v>74</v>
      </c>
      <c r="BB134" t="s">
        <v>1208</v>
      </c>
      <c r="BC134" t="s">
        <v>1208</v>
      </c>
      <c r="BD134" t="s">
        <v>74</v>
      </c>
      <c r="BE134" t="s">
        <v>74</v>
      </c>
      <c r="BF134" t="s">
        <v>74</v>
      </c>
      <c r="BG134" t="s">
        <v>74</v>
      </c>
      <c r="BH134" t="s">
        <v>74</v>
      </c>
      <c r="BI134">
        <v>1</v>
      </c>
      <c r="BJ134" t="s">
        <v>98</v>
      </c>
      <c r="BK134" t="s">
        <v>113</v>
      </c>
      <c r="BL134" t="s">
        <v>98</v>
      </c>
      <c r="BM134" t="s">
        <v>100</v>
      </c>
      <c r="BN134" t="s">
        <v>74</v>
      </c>
      <c r="BO134" t="s">
        <v>74</v>
      </c>
      <c r="BP134" t="s">
        <v>74</v>
      </c>
      <c r="BQ134" t="s">
        <v>74</v>
      </c>
      <c r="BR134" t="s">
        <v>101</v>
      </c>
      <c r="BS134" t="s">
        <v>1209</v>
      </c>
      <c r="BT134" t="str">
        <f>HYPERLINK("https%3A%2F%2Fwww.webofscience.com%2Fwos%2Fwoscc%2Ffull-record%2FWOS:000257683100151","View Full Record in Web of Science")</f>
        <v>View Full Record in Web of Science</v>
      </c>
    </row>
    <row r="135" spans="1:72" x14ac:dyDescent="0.15">
      <c r="A135" t="s">
        <v>72</v>
      </c>
      <c r="B135" t="s">
        <v>1210</v>
      </c>
      <c r="C135" t="s">
        <v>74</v>
      </c>
      <c r="D135" t="s">
        <v>74</v>
      </c>
      <c r="E135" t="s">
        <v>74</v>
      </c>
      <c r="F135" t="s">
        <v>1211</v>
      </c>
      <c r="G135" t="s">
        <v>74</v>
      </c>
      <c r="H135" t="s">
        <v>74</v>
      </c>
      <c r="I135" t="s">
        <v>1212</v>
      </c>
      <c r="J135" t="s">
        <v>77</v>
      </c>
      <c r="K135" t="s">
        <v>74</v>
      </c>
      <c r="L135" t="s">
        <v>74</v>
      </c>
      <c r="M135" t="s">
        <v>78</v>
      </c>
      <c r="N135" t="s">
        <v>52</v>
      </c>
      <c r="O135" t="s">
        <v>79</v>
      </c>
      <c r="P135" t="s">
        <v>80</v>
      </c>
      <c r="Q135" t="s">
        <v>81</v>
      </c>
      <c r="R135" t="s">
        <v>74</v>
      </c>
      <c r="S135" t="s">
        <v>82</v>
      </c>
      <c r="T135" t="s">
        <v>74</v>
      </c>
      <c r="U135" t="s">
        <v>74</v>
      </c>
      <c r="V135" t="s">
        <v>74</v>
      </c>
      <c r="W135" t="s">
        <v>1213</v>
      </c>
      <c r="X135" t="s">
        <v>595</v>
      </c>
      <c r="Y135" t="s">
        <v>74</v>
      </c>
      <c r="Z135" t="s">
        <v>1214</v>
      </c>
      <c r="AA135" t="s">
        <v>74</v>
      </c>
      <c r="AB135" t="s">
        <v>74</v>
      </c>
      <c r="AC135" t="s">
        <v>74</v>
      </c>
      <c r="AD135" t="s">
        <v>74</v>
      </c>
      <c r="AE135" t="s">
        <v>74</v>
      </c>
      <c r="AF135" t="s">
        <v>74</v>
      </c>
      <c r="AG135">
        <v>3</v>
      </c>
      <c r="AH135">
        <v>0</v>
      </c>
      <c r="AI135">
        <v>0</v>
      </c>
      <c r="AJ135">
        <v>0</v>
      </c>
      <c r="AK135">
        <v>2</v>
      </c>
      <c r="AL135" t="s">
        <v>88</v>
      </c>
      <c r="AM135" t="s">
        <v>89</v>
      </c>
      <c r="AN135" t="s">
        <v>90</v>
      </c>
      <c r="AO135" t="s">
        <v>91</v>
      </c>
      <c r="AP135" t="s">
        <v>92</v>
      </c>
      <c r="AQ135" t="s">
        <v>74</v>
      </c>
      <c r="AR135" t="s">
        <v>93</v>
      </c>
      <c r="AS135" t="s">
        <v>94</v>
      </c>
      <c r="AT135" t="s">
        <v>95</v>
      </c>
      <c r="AU135">
        <v>2008</v>
      </c>
      <c r="AV135">
        <v>43</v>
      </c>
      <c r="AW135">
        <v>7</v>
      </c>
      <c r="AX135" t="s">
        <v>74</v>
      </c>
      <c r="AY135" t="s">
        <v>96</v>
      </c>
      <c r="AZ135" t="s">
        <v>74</v>
      </c>
      <c r="BA135" t="s">
        <v>74</v>
      </c>
      <c r="BB135" t="s">
        <v>1208</v>
      </c>
      <c r="BC135" t="s">
        <v>1208</v>
      </c>
      <c r="BD135" t="s">
        <v>74</v>
      </c>
      <c r="BE135" t="s">
        <v>74</v>
      </c>
      <c r="BF135" t="s">
        <v>74</v>
      </c>
      <c r="BG135" t="s">
        <v>74</v>
      </c>
      <c r="BH135" t="s">
        <v>74</v>
      </c>
      <c r="BI135">
        <v>1</v>
      </c>
      <c r="BJ135" t="s">
        <v>98</v>
      </c>
      <c r="BK135" t="s">
        <v>99</v>
      </c>
      <c r="BL135" t="s">
        <v>98</v>
      </c>
      <c r="BM135" t="s">
        <v>100</v>
      </c>
      <c r="BN135" t="s">
        <v>74</v>
      </c>
      <c r="BO135" t="s">
        <v>74</v>
      </c>
      <c r="BP135" t="s">
        <v>74</v>
      </c>
      <c r="BQ135" t="s">
        <v>74</v>
      </c>
      <c r="BR135" t="s">
        <v>101</v>
      </c>
      <c r="BS135" t="s">
        <v>1215</v>
      </c>
      <c r="BT135" t="str">
        <f>HYPERLINK("https%3A%2F%2Fwww.webofscience.com%2Fwos%2Fwoscc%2Ffull-record%2FWOS:000257683100152","View Full Record in Web of Science")</f>
        <v>View Full Record in Web of Science</v>
      </c>
    </row>
    <row r="136" spans="1:72" x14ac:dyDescent="0.15">
      <c r="A136" t="s">
        <v>72</v>
      </c>
      <c r="B136" t="s">
        <v>1216</v>
      </c>
      <c r="C136" t="s">
        <v>74</v>
      </c>
      <c r="D136" t="s">
        <v>74</v>
      </c>
      <c r="E136" t="s">
        <v>74</v>
      </c>
      <c r="F136" t="s">
        <v>1217</v>
      </c>
      <c r="G136" t="s">
        <v>74</v>
      </c>
      <c r="H136" t="s">
        <v>74</v>
      </c>
      <c r="I136" t="s">
        <v>1218</v>
      </c>
      <c r="J136" t="s">
        <v>77</v>
      </c>
      <c r="K136" t="s">
        <v>74</v>
      </c>
      <c r="L136" t="s">
        <v>74</v>
      </c>
      <c r="M136" t="s">
        <v>78</v>
      </c>
      <c r="N136" t="s">
        <v>52</v>
      </c>
      <c r="O136" t="s">
        <v>79</v>
      </c>
      <c r="P136" t="s">
        <v>80</v>
      </c>
      <c r="Q136" t="s">
        <v>81</v>
      </c>
      <c r="R136" t="s">
        <v>74</v>
      </c>
      <c r="S136" t="s">
        <v>82</v>
      </c>
      <c r="T136" t="s">
        <v>74</v>
      </c>
      <c r="U136" t="s">
        <v>1219</v>
      </c>
      <c r="V136" t="s">
        <v>74</v>
      </c>
      <c r="W136" t="s">
        <v>1220</v>
      </c>
      <c r="X136" t="s">
        <v>1221</v>
      </c>
      <c r="Y136" t="s">
        <v>74</v>
      </c>
      <c r="Z136" t="s">
        <v>74</v>
      </c>
      <c r="AA136" t="s">
        <v>74</v>
      </c>
      <c r="AB136" t="s">
        <v>74</v>
      </c>
      <c r="AC136" t="s">
        <v>74</v>
      </c>
      <c r="AD136" t="s">
        <v>74</v>
      </c>
      <c r="AE136" t="s">
        <v>74</v>
      </c>
      <c r="AF136" t="s">
        <v>74</v>
      </c>
      <c r="AG136">
        <v>14</v>
      </c>
      <c r="AH136">
        <v>0</v>
      </c>
      <c r="AI136">
        <v>0</v>
      </c>
      <c r="AJ136">
        <v>0</v>
      </c>
      <c r="AK136">
        <v>0</v>
      </c>
      <c r="AL136" t="s">
        <v>109</v>
      </c>
      <c r="AM136" t="s">
        <v>110</v>
      </c>
      <c r="AN136" t="s">
        <v>111</v>
      </c>
      <c r="AO136" t="s">
        <v>91</v>
      </c>
      <c r="AP136" t="s">
        <v>74</v>
      </c>
      <c r="AQ136" t="s">
        <v>74</v>
      </c>
      <c r="AR136" t="s">
        <v>93</v>
      </c>
      <c r="AS136" t="s">
        <v>94</v>
      </c>
      <c r="AT136" t="s">
        <v>95</v>
      </c>
      <c r="AU136">
        <v>2008</v>
      </c>
      <c r="AV136">
        <v>43</v>
      </c>
      <c r="AW136">
        <v>7</v>
      </c>
      <c r="AX136" t="s">
        <v>74</v>
      </c>
      <c r="AY136" t="s">
        <v>96</v>
      </c>
      <c r="AZ136" t="s">
        <v>74</v>
      </c>
      <c r="BA136" t="s">
        <v>74</v>
      </c>
      <c r="BB136" t="s">
        <v>1222</v>
      </c>
      <c r="BC136" t="s">
        <v>1222</v>
      </c>
      <c r="BD136" t="s">
        <v>74</v>
      </c>
      <c r="BE136" t="s">
        <v>74</v>
      </c>
      <c r="BF136" t="s">
        <v>74</v>
      </c>
      <c r="BG136" t="s">
        <v>74</v>
      </c>
      <c r="BH136" t="s">
        <v>74</v>
      </c>
      <c r="BI136">
        <v>1</v>
      </c>
      <c r="BJ136" t="s">
        <v>98</v>
      </c>
      <c r="BK136" t="s">
        <v>113</v>
      </c>
      <c r="BL136" t="s">
        <v>98</v>
      </c>
      <c r="BM136" t="s">
        <v>100</v>
      </c>
      <c r="BN136" t="s">
        <v>74</v>
      </c>
      <c r="BO136" t="s">
        <v>74</v>
      </c>
      <c r="BP136" t="s">
        <v>74</v>
      </c>
      <c r="BQ136" t="s">
        <v>74</v>
      </c>
      <c r="BR136" t="s">
        <v>101</v>
      </c>
      <c r="BS136" t="s">
        <v>1223</v>
      </c>
      <c r="BT136" t="str">
        <f>HYPERLINK("https%3A%2F%2Fwww.webofscience.com%2Fwos%2Fwoscc%2Ffull-record%2FWOS:000257683100153","View Full Record in Web of Science")</f>
        <v>View Full Record in Web of Science</v>
      </c>
    </row>
    <row r="137" spans="1:72" x14ac:dyDescent="0.15">
      <c r="A137" t="s">
        <v>72</v>
      </c>
      <c r="B137" t="s">
        <v>1224</v>
      </c>
      <c r="C137" t="s">
        <v>74</v>
      </c>
      <c r="D137" t="s">
        <v>74</v>
      </c>
      <c r="E137" t="s">
        <v>74</v>
      </c>
      <c r="F137" t="s">
        <v>1225</v>
      </c>
      <c r="G137" t="s">
        <v>74</v>
      </c>
      <c r="H137" t="s">
        <v>74</v>
      </c>
      <c r="I137" t="s">
        <v>1226</v>
      </c>
      <c r="J137" t="s">
        <v>77</v>
      </c>
      <c r="K137" t="s">
        <v>74</v>
      </c>
      <c r="L137" t="s">
        <v>74</v>
      </c>
      <c r="M137" t="s">
        <v>78</v>
      </c>
      <c r="N137" t="s">
        <v>52</v>
      </c>
      <c r="O137" t="s">
        <v>79</v>
      </c>
      <c r="P137" t="s">
        <v>80</v>
      </c>
      <c r="Q137" t="s">
        <v>81</v>
      </c>
      <c r="R137" t="s">
        <v>74</v>
      </c>
      <c r="S137" t="s">
        <v>82</v>
      </c>
      <c r="T137" t="s">
        <v>74</v>
      </c>
      <c r="U137" t="s">
        <v>74</v>
      </c>
      <c r="V137" t="s">
        <v>74</v>
      </c>
      <c r="W137" t="s">
        <v>1227</v>
      </c>
      <c r="X137" t="s">
        <v>74</v>
      </c>
      <c r="Y137" t="s">
        <v>74</v>
      </c>
      <c r="Z137" t="s">
        <v>1228</v>
      </c>
      <c r="AA137" t="s">
        <v>74</v>
      </c>
      <c r="AB137" t="s">
        <v>74</v>
      </c>
      <c r="AC137" t="s">
        <v>74</v>
      </c>
      <c r="AD137" t="s">
        <v>74</v>
      </c>
      <c r="AE137" t="s">
        <v>74</v>
      </c>
      <c r="AF137" t="s">
        <v>74</v>
      </c>
      <c r="AG137">
        <v>2</v>
      </c>
      <c r="AH137">
        <v>0</v>
      </c>
      <c r="AI137">
        <v>0</v>
      </c>
      <c r="AJ137">
        <v>0</v>
      </c>
      <c r="AK137">
        <v>3</v>
      </c>
      <c r="AL137" t="s">
        <v>109</v>
      </c>
      <c r="AM137" t="s">
        <v>110</v>
      </c>
      <c r="AN137" t="s">
        <v>111</v>
      </c>
      <c r="AO137" t="s">
        <v>91</v>
      </c>
      <c r="AP137" t="s">
        <v>74</v>
      </c>
      <c r="AQ137" t="s">
        <v>74</v>
      </c>
      <c r="AR137" t="s">
        <v>93</v>
      </c>
      <c r="AS137" t="s">
        <v>94</v>
      </c>
      <c r="AT137" t="s">
        <v>95</v>
      </c>
      <c r="AU137">
        <v>2008</v>
      </c>
      <c r="AV137">
        <v>43</v>
      </c>
      <c r="AW137">
        <v>7</v>
      </c>
      <c r="AX137" t="s">
        <v>74</v>
      </c>
      <c r="AY137" t="s">
        <v>96</v>
      </c>
      <c r="AZ137" t="s">
        <v>74</v>
      </c>
      <c r="BA137" t="s">
        <v>74</v>
      </c>
      <c r="BB137" t="s">
        <v>1222</v>
      </c>
      <c r="BC137" t="s">
        <v>1222</v>
      </c>
      <c r="BD137" t="s">
        <v>74</v>
      </c>
      <c r="BE137" t="s">
        <v>74</v>
      </c>
      <c r="BF137" t="s">
        <v>74</v>
      </c>
      <c r="BG137" t="s">
        <v>74</v>
      </c>
      <c r="BH137" t="s">
        <v>74</v>
      </c>
      <c r="BI137">
        <v>1</v>
      </c>
      <c r="BJ137" t="s">
        <v>98</v>
      </c>
      <c r="BK137" t="s">
        <v>113</v>
      </c>
      <c r="BL137" t="s">
        <v>98</v>
      </c>
      <c r="BM137" t="s">
        <v>100</v>
      </c>
      <c r="BN137" t="s">
        <v>74</v>
      </c>
      <c r="BO137" t="s">
        <v>74</v>
      </c>
      <c r="BP137" t="s">
        <v>74</v>
      </c>
      <c r="BQ137" t="s">
        <v>74</v>
      </c>
      <c r="BR137" t="s">
        <v>101</v>
      </c>
      <c r="BS137" t="s">
        <v>1229</v>
      </c>
      <c r="BT137" t="str">
        <f>HYPERLINK("https%3A%2F%2Fwww.webofscience.com%2Fwos%2Fwoscc%2Ffull-record%2FWOS:000257683100154","View Full Record in Web of Science")</f>
        <v>View Full Record in Web of Science</v>
      </c>
    </row>
    <row r="138" spans="1:72" x14ac:dyDescent="0.15">
      <c r="A138" t="s">
        <v>72</v>
      </c>
      <c r="B138" t="s">
        <v>1230</v>
      </c>
      <c r="C138" t="s">
        <v>74</v>
      </c>
      <c r="D138" t="s">
        <v>74</v>
      </c>
      <c r="E138" t="s">
        <v>74</v>
      </c>
      <c r="F138" t="s">
        <v>1231</v>
      </c>
      <c r="G138" t="s">
        <v>74</v>
      </c>
      <c r="H138" t="s">
        <v>74</v>
      </c>
      <c r="I138" t="s">
        <v>1232</v>
      </c>
      <c r="J138" t="s">
        <v>77</v>
      </c>
      <c r="K138" t="s">
        <v>74</v>
      </c>
      <c r="L138" t="s">
        <v>74</v>
      </c>
      <c r="M138" t="s">
        <v>78</v>
      </c>
      <c r="N138" t="s">
        <v>52</v>
      </c>
      <c r="O138" t="s">
        <v>79</v>
      </c>
      <c r="P138" t="s">
        <v>80</v>
      </c>
      <c r="Q138" t="s">
        <v>81</v>
      </c>
      <c r="R138" t="s">
        <v>74</v>
      </c>
      <c r="S138" t="s">
        <v>82</v>
      </c>
      <c r="T138" t="s">
        <v>74</v>
      </c>
      <c r="U138" t="s">
        <v>74</v>
      </c>
      <c r="V138" t="s">
        <v>74</v>
      </c>
      <c r="W138" t="s">
        <v>74</v>
      </c>
      <c r="X138" t="s">
        <v>74</v>
      </c>
      <c r="Y138" t="s">
        <v>74</v>
      </c>
      <c r="Z138" t="s">
        <v>1233</v>
      </c>
      <c r="AA138" t="s">
        <v>74</v>
      </c>
      <c r="AB138" t="s">
        <v>74</v>
      </c>
      <c r="AC138" t="s">
        <v>74</v>
      </c>
      <c r="AD138" t="s">
        <v>74</v>
      </c>
      <c r="AE138" t="s">
        <v>74</v>
      </c>
      <c r="AF138" t="s">
        <v>74</v>
      </c>
      <c r="AG138">
        <v>1</v>
      </c>
      <c r="AH138">
        <v>0</v>
      </c>
      <c r="AI138">
        <v>0</v>
      </c>
      <c r="AJ138">
        <v>0</v>
      </c>
      <c r="AK138">
        <v>0</v>
      </c>
      <c r="AL138" t="s">
        <v>88</v>
      </c>
      <c r="AM138" t="s">
        <v>89</v>
      </c>
      <c r="AN138" t="s">
        <v>90</v>
      </c>
      <c r="AO138" t="s">
        <v>91</v>
      </c>
      <c r="AP138" t="s">
        <v>92</v>
      </c>
      <c r="AQ138" t="s">
        <v>74</v>
      </c>
      <c r="AR138" t="s">
        <v>93</v>
      </c>
      <c r="AS138" t="s">
        <v>94</v>
      </c>
      <c r="AT138" t="s">
        <v>95</v>
      </c>
      <c r="AU138">
        <v>2008</v>
      </c>
      <c r="AV138">
        <v>43</v>
      </c>
      <c r="AW138">
        <v>7</v>
      </c>
      <c r="AX138" t="s">
        <v>74</v>
      </c>
      <c r="AY138" t="s">
        <v>96</v>
      </c>
      <c r="AZ138" t="s">
        <v>74</v>
      </c>
      <c r="BA138" t="s">
        <v>74</v>
      </c>
      <c r="BB138" t="s">
        <v>1234</v>
      </c>
      <c r="BC138" t="s">
        <v>1234</v>
      </c>
      <c r="BD138" t="s">
        <v>74</v>
      </c>
      <c r="BE138" t="s">
        <v>74</v>
      </c>
      <c r="BF138" t="s">
        <v>74</v>
      </c>
      <c r="BG138" t="s">
        <v>74</v>
      </c>
      <c r="BH138" t="s">
        <v>74</v>
      </c>
      <c r="BI138">
        <v>1</v>
      </c>
      <c r="BJ138" t="s">
        <v>98</v>
      </c>
      <c r="BK138" t="s">
        <v>99</v>
      </c>
      <c r="BL138" t="s">
        <v>98</v>
      </c>
      <c r="BM138" t="s">
        <v>100</v>
      </c>
      <c r="BN138" t="s">
        <v>74</v>
      </c>
      <c r="BO138" t="s">
        <v>74</v>
      </c>
      <c r="BP138" t="s">
        <v>74</v>
      </c>
      <c r="BQ138" t="s">
        <v>74</v>
      </c>
      <c r="BR138" t="s">
        <v>101</v>
      </c>
      <c r="BS138" t="s">
        <v>1235</v>
      </c>
      <c r="BT138" t="str">
        <f>HYPERLINK("https%3A%2F%2Fwww.webofscience.com%2Fwos%2Fwoscc%2Ffull-record%2FWOS:000257683100155","View Full Record in Web of Science")</f>
        <v>View Full Record in Web of Science</v>
      </c>
    </row>
    <row r="139" spans="1:72" x14ac:dyDescent="0.15">
      <c r="A139" t="s">
        <v>72</v>
      </c>
      <c r="B139" t="s">
        <v>1236</v>
      </c>
      <c r="C139" t="s">
        <v>74</v>
      </c>
      <c r="D139" t="s">
        <v>74</v>
      </c>
      <c r="E139" t="s">
        <v>74</v>
      </c>
      <c r="F139" t="s">
        <v>1237</v>
      </c>
      <c r="G139" t="s">
        <v>74</v>
      </c>
      <c r="H139" t="s">
        <v>74</v>
      </c>
      <c r="I139" t="s">
        <v>1238</v>
      </c>
      <c r="J139" t="s">
        <v>77</v>
      </c>
      <c r="K139" t="s">
        <v>74</v>
      </c>
      <c r="L139" t="s">
        <v>74</v>
      </c>
      <c r="M139" t="s">
        <v>78</v>
      </c>
      <c r="N139" t="s">
        <v>52</v>
      </c>
      <c r="O139" t="s">
        <v>79</v>
      </c>
      <c r="P139" t="s">
        <v>80</v>
      </c>
      <c r="Q139" t="s">
        <v>81</v>
      </c>
      <c r="R139" t="s">
        <v>74</v>
      </c>
      <c r="S139" t="s">
        <v>82</v>
      </c>
      <c r="T139" t="s">
        <v>74</v>
      </c>
      <c r="U139" t="s">
        <v>1239</v>
      </c>
      <c r="V139" t="s">
        <v>74</v>
      </c>
      <c r="W139" t="s">
        <v>1240</v>
      </c>
      <c r="X139" t="s">
        <v>1241</v>
      </c>
      <c r="Y139" t="s">
        <v>74</v>
      </c>
      <c r="Z139" t="s">
        <v>1242</v>
      </c>
      <c r="AA139" t="s">
        <v>1243</v>
      </c>
      <c r="AB139" t="s">
        <v>74</v>
      </c>
      <c r="AC139" t="s">
        <v>74</v>
      </c>
      <c r="AD139" t="s">
        <v>74</v>
      </c>
      <c r="AE139" t="s">
        <v>74</v>
      </c>
      <c r="AF139" t="s">
        <v>74</v>
      </c>
      <c r="AG139">
        <v>5</v>
      </c>
      <c r="AH139">
        <v>0</v>
      </c>
      <c r="AI139">
        <v>0</v>
      </c>
      <c r="AJ139">
        <v>0</v>
      </c>
      <c r="AK139">
        <v>0</v>
      </c>
      <c r="AL139" t="s">
        <v>109</v>
      </c>
      <c r="AM139" t="s">
        <v>110</v>
      </c>
      <c r="AN139" t="s">
        <v>111</v>
      </c>
      <c r="AO139" t="s">
        <v>91</v>
      </c>
      <c r="AP139" t="s">
        <v>74</v>
      </c>
      <c r="AQ139" t="s">
        <v>74</v>
      </c>
      <c r="AR139" t="s">
        <v>93</v>
      </c>
      <c r="AS139" t="s">
        <v>94</v>
      </c>
      <c r="AT139" t="s">
        <v>95</v>
      </c>
      <c r="AU139">
        <v>2008</v>
      </c>
      <c r="AV139">
        <v>43</v>
      </c>
      <c r="AW139">
        <v>7</v>
      </c>
      <c r="AX139" t="s">
        <v>74</v>
      </c>
      <c r="AY139" t="s">
        <v>96</v>
      </c>
      <c r="AZ139" t="s">
        <v>74</v>
      </c>
      <c r="BA139" t="s">
        <v>74</v>
      </c>
      <c r="BB139" t="s">
        <v>1234</v>
      </c>
      <c r="BC139" t="s">
        <v>1234</v>
      </c>
      <c r="BD139" t="s">
        <v>74</v>
      </c>
      <c r="BE139" t="s">
        <v>74</v>
      </c>
      <c r="BF139" t="s">
        <v>74</v>
      </c>
      <c r="BG139" t="s">
        <v>74</v>
      </c>
      <c r="BH139" t="s">
        <v>74</v>
      </c>
      <c r="BI139">
        <v>1</v>
      </c>
      <c r="BJ139" t="s">
        <v>98</v>
      </c>
      <c r="BK139" t="s">
        <v>113</v>
      </c>
      <c r="BL139" t="s">
        <v>98</v>
      </c>
      <c r="BM139" t="s">
        <v>100</v>
      </c>
      <c r="BN139" t="s">
        <v>74</v>
      </c>
      <c r="BO139" t="s">
        <v>74</v>
      </c>
      <c r="BP139" t="s">
        <v>74</v>
      </c>
      <c r="BQ139" t="s">
        <v>74</v>
      </c>
      <c r="BR139" t="s">
        <v>101</v>
      </c>
      <c r="BS139" t="s">
        <v>1244</v>
      </c>
      <c r="BT139" t="str">
        <f>HYPERLINK("https%3A%2F%2Fwww.webofscience.com%2Fwos%2Fwoscc%2Ffull-record%2FWOS:000257683100156","View Full Record in Web of Science")</f>
        <v>View Full Record in Web of Science</v>
      </c>
    </row>
    <row r="140" spans="1:72" x14ac:dyDescent="0.15">
      <c r="A140" t="s">
        <v>72</v>
      </c>
      <c r="B140" t="s">
        <v>1245</v>
      </c>
      <c r="C140" t="s">
        <v>74</v>
      </c>
      <c r="D140" t="s">
        <v>74</v>
      </c>
      <c r="E140" t="s">
        <v>74</v>
      </c>
      <c r="F140" t="s">
        <v>1246</v>
      </c>
      <c r="G140" t="s">
        <v>74</v>
      </c>
      <c r="H140" t="s">
        <v>74</v>
      </c>
      <c r="I140" t="s">
        <v>1247</v>
      </c>
      <c r="J140" t="s">
        <v>77</v>
      </c>
      <c r="K140" t="s">
        <v>74</v>
      </c>
      <c r="L140" t="s">
        <v>74</v>
      </c>
      <c r="M140" t="s">
        <v>78</v>
      </c>
      <c r="N140" t="s">
        <v>52</v>
      </c>
      <c r="O140" t="s">
        <v>79</v>
      </c>
      <c r="P140" t="s">
        <v>80</v>
      </c>
      <c r="Q140" t="s">
        <v>81</v>
      </c>
      <c r="R140" t="s">
        <v>74</v>
      </c>
      <c r="S140" t="s">
        <v>82</v>
      </c>
      <c r="T140" t="s">
        <v>74</v>
      </c>
      <c r="U140" t="s">
        <v>720</v>
      </c>
      <c r="V140" t="s">
        <v>74</v>
      </c>
      <c r="W140" t="s">
        <v>1248</v>
      </c>
      <c r="X140" t="s">
        <v>1249</v>
      </c>
      <c r="Y140" t="s">
        <v>74</v>
      </c>
      <c r="Z140" t="s">
        <v>1250</v>
      </c>
      <c r="AA140" t="s">
        <v>1251</v>
      </c>
      <c r="AB140" t="s">
        <v>1252</v>
      </c>
      <c r="AC140" t="s">
        <v>74</v>
      </c>
      <c r="AD140" t="s">
        <v>74</v>
      </c>
      <c r="AE140" t="s">
        <v>74</v>
      </c>
      <c r="AF140" t="s">
        <v>74</v>
      </c>
      <c r="AG140">
        <v>4</v>
      </c>
      <c r="AH140">
        <v>5</v>
      </c>
      <c r="AI140">
        <v>5</v>
      </c>
      <c r="AJ140">
        <v>0</v>
      </c>
      <c r="AK140">
        <v>5</v>
      </c>
      <c r="AL140" t="s">
        <v>109</v>
      </c>
      <c r="AM140" t="s">
        <v>110</v>
      </c>
      <c r="AN140" t="s">
        <v>111</v>
      </c>
      <c r="AO140" t="s">
        <v>91</v>
      </c>
      <c r="AP140" t="s">
        <v>74</v>
      </c>
      <c r="AQ140" t="s">
        <v>74</v>
      </c>
      <c r="AR140" t="s">
        <v>93</v>
      </c>
      <c r="AS140" t="s">
        <v>94</v>
      </c>
      <c r="AT140" t="s">
        <v>95</v>
      </c>
      <c r="AU140">
        <v>2008</v>
      </c>
      <c r="AV140">
        <v>43</v>
      </c>
      <c r="AW140">
        <v>7</v>
      </c>
      <c r="AX140" t="s">
        <v>74</v>
      </c>
      <c r="AY140" t="s">
        <v>96</v>
      </c>
      <c r="AZ140" t="s">
        <v>74</v>
      </c>
      <c r="BA140" t="s">
        <v>74</v>
      </c>
      <c r="BB140" t="s">
        <v>1253</v>
      </c>
      <c r="BC140" t="s">
        <v>1253</v>
      </c>
      <c r="BD140" t="s">
        <v>74</v>
      </c>
      <c r="BE140" t="s">
        <v>74</v>
      </c>
      <c r="BF140" t="s">
        <v>74</v>
      </c>
      <c r="BG140" t="s">
        <v>74</v>
      </c>
      <c r="BH140" t="s">
        <v>74</v>
      </c>
      <c r="BI140">
        <v>1</v>
      </c>
      <c r="BJ140" t="s">
        <v>98</v>
      </c>
      <c r="BK140" t="s">
        <v>113</v>
      </c>
      <c r="BL140" t="s">
        <v>98</v>
      </c>
      <c r="BM140" t="s">
        <v>100</v>
      </c>
      <c r="BN140" t="s">
        <v>74</v>
      </c>
      <c r="BO140" t="s">
        <v>74</v>
      </c>
      <c r="BP140" t="s">
        <v>74</v>
      </c>
      <c r="BQ140" t="s">
        <v>74</v>
      </c>
      <c r="BR140" t="s">
        <v>101</v>
      </c>
      <c r="BS140" t="s">
        <v>1254</v>
      </c>
      <c r="BT140" t="str">
        <f>HYPERLINK("https%3A%2F%2Fwww.webofscience.com%2Fwos%2Fwoscc%2Ffull-record%2FWOS:000257683100157","View Full Record in Web of Science")</f>
        <v>View Full Record in Web of Science</v>
      </c>
    </row>
    <row r="141" spans="1:72" x14ac:dyDescent="0.15">
      <c r="A141" t="s">
        <v>72</v>
      </c>
      <c r="B141" t="s">
        <v>1255</v>
      </c>
      <c r="C141" t="s">
        <v>74</v>
      </c>
      <c r="D141" t="s">
        <v>74</v>
      </c>
      <c r="E141" t="s">
        <v>74</v>
      </c>
      <c r="F141" t="s">
        <v>1256</v>
      </c>
      <c r="G141" t="s">
        <v>74</v>
      </c>
      <c r="H141" t="s">
        <v>74</v>
      </c>
      <c r="I141" t="s">
        <v>1257</v>
      </c>
      <c r="J141" t="s">
        <v>77</v>
      </c>
      <c r="K141" t="s">
        <v>74</v>
      </c>
      <c r="L141" t="s">
        <v>74</v>
      </c>
      <c r="M141" t="s">
        <v>78</v>
      </c>
      <c r="N141" t="s">
        <v>52</v>
      </c>
      <c r="O141" t="s">
        <v>79</v>
      </c>
      <c r="P141" t="s">
        <v>80</v>
      </c>
      <c r="Q141" t="s">
        <v>81</v>
      </c>
      <c r="R141" t="s">
        <v>74</v>
      </c>
      <c r="S141" t="s">
        <v>82</v>
      </c>
      <c r="T141" t="s">
        <v>74</v>
      </c>
      <c r="U141" t="s">
        <v>74</v>
      </c>
      <c r="V141" t="s">
        <v>74</v>
      </c>
      <c r="W141" t="s">
        <v>1258</v>
      </c>
      <c r="X141" t="s">
        <v>1259</v>
      </c>
      <c r="Y141" t="s">
        <v>74</v>
      </c>
      <c r="Z141" t="s">
        <v>1260</v>
      </c>
      <c r="AA141" t="s">
        <v>1261</v>
      </c>
      <c r="AB141" t="s">
        <v>604</v>
      </c>
      <c r="AC141" t="s">
        <v>521</v>
      </c>
      <c r="AD141" t="s">
        <v>522</v>
      </c>
      <c r="AE141" t="s">
        <v>74</v>
      </c>
      <c r="AF141" t="s">
        <v>74</v>
      </c>
      <c r="AG141">
        <v>4</v>
      </c>
      <c r="AH141">
        <v>1</v>
      </c>
      <c r="AI141">
        <v>1</v>
      </c>
      <c r="AJ141">
        <v>0</v>
      </c>
      <c r="AK141">
        <v>2</v>
      </c>
      <c r="AL141" t="s">
        <v>149</v>
      </c>
      <c r="AM141" t="s">
        <v>150</v>
      </c>
      <c r="AN141" t="s">
        <v>151</v>
      </c>
      <c r="AO141" t="s">
        <v>91</v>
      </c>
      <c r="AP141" t="s">
        <v>74</v>
      </c>
      <c r="AQ141" t="s">
        <v>74</v>
      </c>
      <c r="AR141" t="s">
        <v>93</v>
      </c>
      <c r="AS141" t="s">
        <v>94</v>
      </c>
      <c r="AT141" t="s">
        <v>95</v>
      </c>
      <c r="AU141">
        <v>2008</v>
      </c>
      <c r="AV141">
        <v>43</v>
      </c>
      <c r="AW141">
        <v>7</v>
      </c>
      <c r="AX141" t="s">
        <v>74</v>
      </c>
      <c r="AY141" t="s">
        <v>96</v>
      </c>
      <c r="AZ141" t="s">
        <v>74</v>
      </c>
      <c r="BA141" t="s">
        <v>74</v>
      </c>
      <c r="BB141" t="s">
        <v>1253</v>
      </c>
      <c r="BC141" t="s">
        <v>1253</v>
      </c>
      <c r="BD141" t="s">
        <v>74</v>
      </c>
      <c r="BE141" t="s">
        <v>74</v>
      </c>
      <c r="BF141" t="s">
        <v>74</v>
      </c>
      <c r="BG141" t="s">
        <v>74</v>
      </c>
      <c r="BH141" t="s">
        <v>74</v>
      </c>
      <c r="BI141">
        <v>1</v>
      </c>
      <c r="BJ141" t="s">
        <v>98</v>
      </c>
      <c r="BK141" t="s">
        <v>99</v>
      </c>
      <c r="BL141" t="s">
        <v>98</v>
      </c>
      <c r="BM141" t="s">
        <v>100</v>
      </c>
      <c r="BN141" t="s">
        <v>74</v>
      </c>
      <c r="BO141" t="s">
        <v>74</v>
      </c>
      <c r="BP141" t="s">
        <v>74</v>
      </c>
      <c r="BQ141" t="s">
        <v>74</v>
      </c>
      <c r="BR141" t="s">
        <v>101</v>
      </c>
      <c r="BS141" t="s">
        <v>1262</v>
      </c>
      <c r="BT141" t="str">
        <f>HYPERLINK("https%3A%2F%2Fwww.webofscience.com%2Fwos%2Fwoscc%2Ffull-record%2FWOS:000257683100158","View Full Record in Web of Science")</f>
        <v>View Full Record in Web of Science</v>
      </c>
    </row>
    <row r="142" spans="1:72" x14ac:dyDescent="0.15">
      <c r="A142" t="s">
        <v>72</v>
      </c>
      <c r="B142" t="s">
        <v>1263</v>
      </c>
      <c r="C142" t="s">
        <v>74</v>
      </c>
      <c r="D142" t="s">
        <v>74</v>
      </c>
      <c r="E142" t="s">
        <v>74</v>
      </c>
      <c r="F142" t="s">
        <v>1264</v>
      </c>
      <c r="G142" t="s">
        <v>74</v>
      </c>
      <c r="H142" t="s">
        <v>74</v>
      </c>
      <c r="I142" t="s">
        <v>1265</v>
      </c>
      <c r="J142" t="s">
        <v>77</v>
      </c>
      <c r="K142" t="s">
        <v>74</v>
      </c>
      <c r="L142" t="s">
        <v>74</v>
      </c>
      <c r="M142" t="s">
        <v>78</v>
      </c>
      <c r="N142" t="s">
        <v>52</v>
      </c>
      <c r="O142" t="s">
        <v>79</v>
      </c>
      <c r="P142" t="s">
        <v>80</v>
      </c>
      <c r="Q142" t="s">
        <v>81</v>
      </c>
      <c r="R142" t="s">
        <v>74</v>
      </c>
      <c r="S142" t="s">
        <v>82</v>
      </c>
      <c r="T142" t="s">
        <v>74</v>
      </c>
      <c r="U142" t="s">
        <v>74</v>
      </c>
      <c r="V142" t="s">
        <v>74</v>
      </c>
      <c r="W142" t="s">
        <v>1266</v>
      </c>
      <c r="X142" t="s">
        <v>1267</v>
      </c>
      <c r="Y142" t="s">
        <v>74</v>
      </c>
      <c r="Z142" t="s">
        <v>1268</v>
      </c>
      <c r="AA142" t="s">
        <v>1269</v>
      </c>
      <c r="AB142" t="s">
        <v>74</v>
      </c>
      <c r="AC142" t="s">
        <v>74</v>
      </c>
      <c r="AD142" t="s">
        <v>74</v>
      </c>
      <c r="AE142" t="s">
        <v>74</v>
      </c>
      <c r="AF142" t="s">
        <v>74</v>
      </c>
      <c r="AG142">
        <v>2</v>
      </c>
      <c r="AH142">
        <v>0</v>
      </c>
      <c r="AI142">
        <v>0</v>
      </c>
      <c r="AJ142">
        <v>0</v>
      </c>
      <c r="AK142">
        <v>1</v>
      </c>
      <c r="AL142" t="s">
        <v>88</v>
      </c>
      <c r="AM142" t="s">
        <v>89</v>
      </c>
      <c r="AN142" t="s">
        <v>90</v>
      </c>
      <c r="AO142" t="s">
        <v>91</v>
      </c>
      <c r="AP142" t="s">
        <v>92</v>
      </c>
      <c r="AQ142" t="s">
        <v>74</v>
      </c>
      <c r="AR142" t="s">
        <v>93</v>
      </c>
      <c r="AS142" t="s">
        <v>94</v>
      </c>
      <c r="AT142" t="s">
        <v>95</v>
      </c>
      <c r="AU142">
        <v>2008</v>
      </c>
      <c r="AV142">
        <v>43</v>
      </c>
      <c r="AW142">
        <v>7</v>
      </c>
      <c r="AX142" t="s">
        <v>74</v>
      </c>
      <c r="AY142" t="s">
        <v>96</v>
      </c>
      <c r="AZ142" t="s">
        <v>74</v>
      </c>
      <c r="BA142" t="s">
        <v>74</v>
      </c>
      <c r="BB142" t="s">
        <v>1270</v>
      </c>
      <c r="BC142" t="s">
        <v>1270</v>
      </c>
      <c r="BD142" t="s">
        <v>74</v>
      </c>
      <c r="BE142" t="s">
        <v>74</v>
      </c>
      <c r="BF142" t="s">
        <v>74</v>
      </c>
      <c r="BG142" t="s">
        <v>74</v>
      </c>
      <c r="BH142" t="s">
        <v>74</v>
      </c>
      <c r="BI142">
        <v>1</v>
      </c>
      <c r="BJ142" t="s">
        <v>98</v>
      </c>
      <c r="BK142" t="s">
        <v>99</v>
      </c>
      <c r="BL142" t="s">
        <v>98</v>
      </c>
      <c r="BM142" t="s">
        <v>100</v>
      </c>
      <c r="BN142" t="s">
        <v>74</v>
      </c>
      <c r="BO142" t="s">
        <v>74</v>
      </c>
      <c r="BP142" t="s">
        <v>74</v>
      </c>
      <c r="BQ142" t="s">
        <v>74</v>
      </c>
      <c r="BR142" t="s">
        <v>101</v>
      </c>
      <c r="BS142" t="s">
        <v>1271</v>
      </c>
      <c r="BT142" t="str">
        <f>HYPERLINK("https%3A%2F%2Fwww.webofscience.com%2Fwos%2Fwoscc%2Ffull-record%2FWOS:000257683100159","View Full Record in Web of Science")</f>
        <v>View Full Record in Web of Science</v>
      </c>
    </row>
    <row r="143" spans="1:72" x14ac:dyDescent="0.15">
      <c r="A143" t="s">
        <v>72</v>
      </c>
      <c r="B143" t="s">
        <v>1272</v>
      </c>
      <c r="C143" t="s">
        <v>74</v>
      </c>
      <c r="D143" t="s">
        <v>74</v>
      </c>
      <c r="E143" t="s">
        <v>74</v>
      </c>
      <c r="F143" t="s">
        <v>1273</v>
      </c>
      <c r="G143" t="s">
        <v>74</v>
      </c>
      <c r="H143" t="s">
        <v>74</v>
      </c>
      <c r="I143" t="s">
        <v>1274</v>
      </c>
      <c r="J143" t="s">
        <v>77</v>
      </c>
      <c r="K143" t="s">
        <v>74</v>
      </c>
      <c r="L143" t="s">
        <v>74</v>
      </c>
      <c r="M143" t="s">
        <v>78</v>
      </c>
      <c r="N143" t="s">
        <v>52</v>
      </c>
      <c r="O143" t="s">
        <v>79</v>
      </c>
      <c r="P143" t="s">
        <v>80</v>
      </c>
      <c r="Q143" t="s">
        <v>81</v>
      </c>
      <c r="R143" t="s">
        <v>74</v>
      </c>
      <c r="S143" t="s">
        <v>82</v>
      </c>
      <c r="T143" t="s">
        <v>74</v>
      </c>
      <c r="U143" t="s">
        <v>74</v>
      </c>
      <c r="V143" t="s">
        <v>74</v>
      </c>
      <c r="W143" t="s">
        <v>1275</v>
      </c>
      <c r="X143" t="s">
        <v>1276</v>
      </c>
      <c r="Y143" t="s">
        <v>74</v>
      </c>
      <c r="Z143" t="s">
        <v>1277</v>
      </c>
      <c r="AA143" t="s">
        <v>74</v>
      </c>
      <c r="AB143" t="s">
        <v>74</v>
      </c>
      <c r="AC143" t="s">
        <v>74</v>
      </c>
      <c r="AD143" t="s">
        <v>74</v>
      </c>
      <c r="AE143" t="s">
        <v>74</v>
      </c>
      <c r="AF143" t="s">
        <v>74</v>
      </c>
      <c r="AG143">
        <v>6</v>
      </c>
      <c r="AH143">
        <v>0</v>
      </c>
      <c r="AI143">
        <v>0</v>
      </c>
      <c r="AJ143">
        <v>0</v>
      </c>
      <c r="AK143">
        <v>0</v>
      </c>
      <c r="AL143" t="s">
        <v>109</v>
      </c>
      <c r="AM143" t="s">
        <v>110</v>
      </c>
      <c r="AN143" t="s">
        <v>111</v>
      </c>
      <c r="AO143" t="s">
        <v>91</v>
      </c>
      <c r="AP143" t="s">
        <v>74</v>
      </c>
      <c r="AQ143" t="s">
        <v>74</v>
      </c>
      <c r="AR143" t="s">
        <v>93</v>
      </c>
      <c r="AS143" t="s">
        <v>94</v>
      </c>
      <c r="AT143" t="s">
        <v>95</v>
      </c>
      <c r="AU143">
        <v>2008</v>
      </c>
      <c r="AV143">
        <v>43</v>
      </c>
      <c r="AW143">
        <v>7</v>
      </c>
      <c r="AX143" t="s">
        <v>74</v>
      </c>
      <c r="AY143" t="s">
        <v>96</v>
      </c>
      <c r="AZ143" t="s">
        <v>74</v>
      </c>
      <c r="BA143" t="s">
        <v>74</v>
      </c>
      <c r="BB143" t="s">
        <v>1270</v>
      </c>
      <c r="BC143" t="s">
        <v>1270</v>
      </c>
      <c r="BD143" t="s">
        <v>74</v>
      </c>
      <c r="BE143" t="s">
        <v>74</v>
      </c>
      <c r="BF143" t="s">
        <v>74</v>
      </c>
      <c r="BG143" t="s">
        <v>74</v>
      </c>
      <c r="BH143" t="s">
        <v>74</v>
      </c>
      <c r="BI143">
        <v>1</v>
      </c>
      <c r="BJ143" t="s">
        <v>98</v>
      </c>
      <c r="BK143" t="s">
        <v>113</v>
      </c>
      <c r="BL143" t="s">
        <v>98</v>
      </c>
      <c r="BM143" t="s">
        <v>100</v>
      </c>
      <c r="BN143" t="s">
        <v>74</v>
      </c>
      <c r="BO143" t="s">
        <v>74</v>
      </c>
      <c r="BP143" t="s">
        <v>74</v>
      </c>
      <c r="BQ143" t="s">
        <v>74</v>
      </c>
      <c r="BR143" t="s">
        <v>101</v>
      </c>
      <c r="BS143" t="s">
        <v>1278</v>
      </c>
      <c r="BT143" t="str">
        <f>HYPERLINK("https%3A%2F%2Fwww.webofscience.com%2Fwos%2Fwoscc%2Ffull-record%2FWOS:000257683100160","View Full Record in Web of Science")</f>
        <v>View Full Record in Web of Science</v>
      </c>
    </row>
    <row r="144" spans="1:72" x14ac:dyDescent="0.15">
      <c r="A144" t="s">
        <v>72</v>
      </c>
      <c r="B144" t="s">
        <v>1279</v>
      </c>
      <c r="C144" t="s">
        <v>74</v>
      </c>
      <c r="D144" t="s">
        <v>74</v>
      </c>
      <c r="E144" t="s">
        <v>74</v>
      </c>
      <c r="F144" t="s">
        <v>1280</v>
      </c>
      <c r="G144" t="s">
        <v>74</v>
      </c>
      <c r="H144" t="s">
        <v>74</v>
      </c>
      <c r="I144" t="s">
        <v>1281</v>
      </c>
      <c r="J144" t="s">
        <v>77</v>
      </c>
      <c r="K144" t="s">
        <v>74</v>
      </c>
      <c r="L144" t="s">
        <v>74</v>
      </c>
      <c r="M144" t="s">
        <v>78</v>
      </c>
      <c r="N144" t="s">
        <v>52</v>
      </c>
      <c r="O144" t="s">
        <v>79</v>
      </c>
      <c r="P144" t="s">
        <v>80</v>
      </c>
      <c r="Q144" t="s">
        <v>81</v>
      </c>
      <c r="R144" t="s">
        <v>74</v>
      </c>
      <c r="S144" t="s">
        <v>82</v>
      </c>
      <c r="T144" t="s">
        <v>74</v>
      </c>
      <c r="U144" t="s">
        <v>74</v>
      </c>
      <c r="V144" t="s">
        <v>74</v>
      </c>
      <c r="W144" t="s">
        <v>1282</v>
      </c>
      <c r="X144" t="s">
        <v>1283</v>
      </c>
      <c r="Y144" t="s">
        <v>74</v>
      </c>
      <c r="Z144" t="s">
        <v>1284</v>
      </c>
      <c r="AA144" t="s">
        <v>74</v>
      </c>
      <c r="AB144" t="s">
        <v>74</v>
      </c>
      <c r="AC144" t="s">
        <v>74</v>
      </c>
      <c r="AD144" t="s">
        <v>74</v>
      </c>
      <c r="AE144" t="s">
        <v>74</v>
      </c>
      <c r="AF144" t="s">
        <v>74</v>
      </c>
      <c r="AG144">
        <v>3</v>
      </c>
      <c r="AH144">
        <v>0</v>
      </c>
      <c r="AI144">
        <v>0</v>
      </c>
      <c r="AJ144">
        <v>0</v>
      </c>
      <c r="AK144">
        <v>0</v>
      </c>
      <c r="AL144" t="s">
        <v>109</v>
      </c>
      <c r="AM144" t="s">
        <v>110</v>
      </c>
      <c r="AN144" t="s">
        <v>111</v>
      </c>
      <c r="AO144" t="s">
        <v>91</v>
      </c>
      <c r="AP144" t="s">
        <v>74</v>
      </c>
      <c r="AQ144" t="s">
        <v>74</v>
      </c>
      <c r="AR144" t="s">
        <v>93</v>
      </c>
      <c r="AS144" t="s">
        <v>94</v>
      </c>
      <c r="AT144" t="s">
        <v>95</v>
      </c>
      <c r="AU144">
        <v>2008</v>
      </c>
      <c r="AV144">
        <v>43</v>
      </c>
      <c r="AW144">
        <v>7</v>
      </c>
      <c r="AX144" t="s">
        <v>74</v>
      </c>
      <c r="AY144" t="s">
        <v>96</v>
      </c>
      <c r="AZ144" t="s">
        <v>74</v>
      </c>
      <c r="BA144" t="s">
        <v>74</v>
      </c>
      <c r="BB144" t="s">
        <v>1285</v>
      </c>
      <c r="BC144" t="s">
        <v>1285</v>
      </c>
      <c r="BD144" t="s">
        <v>74</v>
      </c>
      <c r="BE144" t="s">
        <v>74</v>
      </c>
      <c r="BF144" t="s">
        <v>74</v>
      </c>
      <c r="BG144" t="s">
        <v>74</v>
      </c>
      <c r="BH144" t="s">
        <v>74</v>
      </c>
      <c r="BI144">
        <v>1</v>
      </c>
      <c r="BJ144" t="s">
        <v>98</v>
      </c>
      <c r="BK144" t="s">
        <v>113</v>
      </c>
      <c r="BL144" t="s">
        <v>98</v>
      </c>
      <c r="BM144" t="s">
        <v>100</v>
      </c>
      <c r="BN144" t="s">
        <v>74</v>
      </c>
      <c r="BO144" t="s">
        <v>74</v>
      </c>
      <c r="BP144" t="s">
        <v>74</v>
      </c>
      <c r="BQ144" t="s">
        <v>74</v>
      </c>
      <c r="BR144" t="s">
        <v>101</v>
      </c>
      <c r="BS144" t="s">
        <v>1286</v>
      </c>
      <c r="BT144" t="str">
        <f>HYPERLINK("https%3A%2F%2Fwww.webofscience.com%2Fwos%2Fwoscc%2Ffull-record%2FWOS:000257683100161","View Full Record in Web of Science")</f>
        <v>View Full Record in Web of Science</v>
      </c>
    </row>
    <row r="145" spans="1:72" x14ac:dyDescent="0.15">
      <c r="A145" t="s">
        <v>72</v>
      </c>
      <c r="B145" t="s">
        <v>1287</v>
      </c>
      <c r="C145" t="s">
        <v>74</v>
      </c>
      <c r="D145" t="s">
        <v>74</v>
      </c>
      <c r="E145" t="s">
        <v>74</v>
      </c>
      <c r="F145" t="s">
        <v>1288</v>
      </c>
      <c r="G145" t="s">
        <v>74</v>
      </c>
      <c r="H145" t="s">
        <v>74</v>
      </c>
      <c r="I145" t="s">
        <v>1289</v>
      </c>
      <c r="J145" t="s">
        <v>77</v>
      </c>
      <c r="K145" t="s">
        <v>74</v>
      </c>
      <c r="L145" t="s">
        <v>74</v>
      </c>
      <c r="M145" t="s">
        <v>78</v>
      </c>
      <c r="N145" t="s">
        <v>52</v>
      </c>
      <c r="O145" t="s">
        <v>79</v>
      </c>
      <c r="P145" t="s">
        <v>80</v>
      </c>
      <c r="Q145" t="s">
        <v>81</v>
      </c>
      <c r="R145" t="s">
        <v>74</v>
      </c>
      <c r="S145" t="s">
        <v>82</v>
      </c>
      <c r="T145" t="s">
        <v>74</v>
      </c>
      <c r="U145" t="s">
        <v>74</v>
      </c>
      <c r="V145" t="s">
        <v>74</v>
      </c>
      <c r="W145" t="s">
        <v>1290</v>
      </c>
      <c r="X145" t="s">
        <v>1066</v>
      </c>
      <c r="Y145" t="s">
        <v>74</v>
      </c>
      <c r="Z145" t="s">
        <v>1291</v>
      </c>
      <c r="AA145" t="s">
        <v>1133</v>
      </c>
      <c r="AB145" t="s">
        <v>74</v>
      </c>
      <c r="AC145" t="s">
        <v>74</v>
      </c>
      <c r="AD145" t="s">
        <v>74</v>
      </c>
      <c r="AE145" t="s">
        <v>74</v>
      </c>
      <c r="AF145" t="s">
        <v>74</v>
      </c>
      <c r="AG145">
        <v>7</v>
      </c>
      <c r="AH145">
        <v>2</v>
      </c>
      <c r="AI145">
        <v>3</v>
      </c>
      <c r="AJ145">
        <v>0</v>
      </c>
      <c r="AK145">
        <v>0</v>
      </c>
      <c r="AL145" t="s">
        <v>149</v>
      </c>
      <c r="AM145" t="s">
        <v>150</v>
      </c>
      <c r="AN145" t="s">
        <v>151</v>
      </c>
      <c r="AO145" t="s">
        <v>91</v>
      </c>
      <c r="AP145" t="s">
        <v>74</v>
      </c>
      <c r="AQ145" t="s">
        <v>74</v>
      </c>
      <c r="AR145" t="s">
        <v>93</v>
      </c>
      <c r="AS145" t="s">
        <v>94</v>
      </c>
      <c r="AT145" t="s">
        <v>95</v>
      </c>
      <c r="AU145">
        <v>2008</v>
      </c>
      <c r="AV145">
        <v>43</v>
      </c>
      <c r="AW145">
        <v>7</v>
      </c>
      <c r="AX145" t="s">
        <v>74</v>
      </c>
      <c r="AY145" t="s">
        <v>96</v>
      </c>
      <c r="AZ145" t="s">
        <v>74</v>
      </c>
      <c r="BA145" t="s">
        <v>74</v>
      </c>
      <c r="BB145" t="s">
        <v>1285</v>
      </c>
      <c r="BC145" t="s">
        <v>1285</v>
      </c>
      <c r="BD145" t="s">
        <v>74</v>
      </c>
      <c r="BE145" t="s">
        <v>74</v>
      </c>
      <c r="BF145" t="s">
        <v>74</v>
      </c>
      <c r="BG145" t="s">
        <v>74</v>
      </c>
      <c r="BH145" t="s">
        <v>74</v>
      </c>
      <c r="BI145">
        <v>1</v>
      </c>
      <c r="BJ145" t="s">
        <v>98</v>
      </c>
      <c r="BK145" t="s">
        <v>99</v>
      </c>
      <c r="BL145" t="s">
        <v>98</v>
      </c>
      <c r="BM145" t="s">
        <v>100</v>
      </c>
      <c r="BN145" t="s">
        <v>74</v>
      </c>
      <c r="BO145" t="s">
        <v>74</v>
      </c>
      <c r="BP145" t="s">
        <v>74</v>
      </c>
      <c r="BQ145" t="s">
        <v>74</v>
      </c>
      <c r="BR145" t="s">
        <v>101</v>
      </c>
      <c r="BS145" t="s">
        <v>1292</v>
      </c>
      <c r="BT145" t="str">
        <f>HYPERLINK("https%3A%2F%2Fwww.webofscience.com%2Fwos%2Fwoscc%2Ffull-record%2FWOS:000257683100162","View Full Record in Web of Science")</f>
        <v>View Full Record in Web of Science</v>
      </c>
    </row>
    <row r="146" spans="1:72" x14ac:dyDescent="0.15">
      <c r="A146" t="s">
        <v>72</v>
      </c>
      <c r="B146" t="s">
        <v>1293</v>
      </c>
      <c r="C146" t="s">
        <v>74</v>
      </c>
      <c r="D146" t="s">
        <v>74</v>
      </c>
      <c r="E146" t="s">
        <v>74</v>
      </c>
      <c r="F146" t="s">
        <v>1294</v>
      </c>
      <c r="G146" t="s">
        <v>74</v>
      </c>
      <c r="H146" t="s">
        <v>74</v>
      </c>
      <c r="I146" t="s">
        <v>1295</v>
      </c>
      <c r="J146" t="s">
        <v>77</v>
      </c>
      <c r="K146" t="s">
        <v>74</v>
      </c>
      <c r="L146" t="s">
        <v>74</v>
      </c>
      <c r="M146" t="s">
        <v>78</v>
      </c>
      <c r="N146" t="s">
        <v>52</v>
      </c>
      <c r="O146" t="s">
        <v>79</v>
      </c>
      <c r="P146" t="s">
        <v>80</v>
      </c>
      <c r="Q146" t="s">
        <v>81</v>
      </c>
      <c r="R146" t="s">
        <v>74</v>
      </c>
      <c r="S146" t="s">
        <v>82</v>
      </c>
      <c r="T146" t="s">
        <v>74</v>
      </c>
      <c r="U146" t="s">
        <v>74</v>
      </c>
      <c r="V146" t="s">
        <v>74</v>
      </c>
      <c r="W146" t="s">
        <v>1296</v>
      </c>
      <c r="X146" t="s">
        <v>1297</v>
      </c>
      <c r="Y146" t="s">
        <v>74</v>
      </c>
      <c r="Z146" t="s">
        <v>1298</v>
      </c>
      <c r="AA146" t="s">
        <v>74</v>
      </c>
      <c r="AB146" t="s">
        <v>74</v>
      </c>
      <c r="AC146" t="s">
        <v>74</v>
      </c>
      <c r="AD146" t="s">
        <v>74</v>
      </c>
      <c r="AE146" t="s">
        <v>74</v>
      </c>
      <c r="AF146" t="s">
        <v>74</v>
      </c>
      <c r="AG146">
        <v>5</v>
      </c>
      <c r="AH146">
        <v>1</v>
      </c>
      <c r="AI146">
        <v>1</v>
      </c>
      <c r="AJ146">
        <v>0</v>
      </c>
      <c r="AK146">
        <v>1</v>
      </c>
      <c r="AL146" t="s">
        <v>149</v>
      </c>
      <c r="AM146" t="s">
        <v>89</v>
      </c>
      <c r="AN146" t="s">
        <v>90</v>
      </c>
      <c r="AO146" t="s">
        <v>91</v>
      </c>
      <c r="AP146" t="s">
        <v>92</v>
      </c>
      <c r="AQ146" t="s">
        <v>74</v>
      </c>
      <c r="AR146" t="s">
        <v>93</v>
      </c>
      <c r="AS146" t="s">
        <v>94</v>
      </c>
      <c r="AT146" t="s">
        <v>95</v>
      </c>
      <c r="AU146">
        <v>2008</v>
      </c>
      <c r="AV146">
        <v>43</v>
      </c>
      <c r="AW146">
        <v>7</v>
      </c>
      <c r="AX146" t="s">
        <v>74</v>
      </c>
      <c r="AY146" t="s">
        <v>96</v>
      </c>
      <c r="AZ146" t="s">
        <v>74</v>
      </c>
      <c r="BA146" t="s">
        <v>74</v>
      </c>
      <c r="BB146" t="s">
        <v>1299</v>
      </c>
      <c r="BC146" t="s">
        <v>1299</v>
      </c>
      <c r="BD146" t="s">
        <v>74</v>
      </c>
      <c r="BE146" t="s">
        <v>74</v>
      </c>
      <c r="BF146" t="s">
        <v>74</v>
      </c>
      <c r="BG146" t="s">
        <v>74</v>
      </c>
      <c r="BH146" t="s">
        <v>74</v>
      </c>
      <c r="BI146">
        <v>1</v>
      </c>
      <c r="BJ146" t="s">
        <v>98</v>
      </c>
      <c r="BK146" t="s">
        <v>99</v>
      </c>
      <c r="BL146" t="s">
        <v>98</v>
      </c>
      <c r="BM146" t="s">
        <v>100</v>
      </c>
      <c r="BN146" t="s">
        <v>74</v>
      </c>
      <c r="BO146" t="s">
        <v>74</v>
      </c>
      <c r="BP146" t="s">
        <v>74</v>
      </c>
      <c r="BQ146" t="s">
        <v>74</v>
      </c>
      <c r="BR146" t="s">
        <v>101</v>
      </c>
      <c r="BS146" t="s">
        <v>1300</v>
      </c>
      <c r="BT146" t="str">
        <f>HYPERLINK("https%3A%2F%2Fwww.webofscience.com%2Fwos%2Fwoscc%2Ffull-record%2FWOS:000257683100163","View Full Record in Web of Science")</f>
        <v>View Full Record in Web of Science</v>
      </c>
    </row>
    <row r="147" spans="1:72" x14ac:dyDescent="0.15">
      <c r="A147" t="s">
        <v>72</v>
      </c>
      <c r="B147" t="s">
        <v>1301</v>
      </c>
      <c r="C147" t="s">
        <v>74</v>
      </c>
      <c r="D147" t="s">
        <v>74</v>
      </c>
      <c r="E147" t="s">
        <v>74</v>
      </c>
      <c r="F147" t="s">
        <v>1302</v>
      </c>
      <c r="G147" t="s">
        <v>74</v>
      </c>
      <c r="H147" t="s">
        <v>74</v>
      </c>
      <c r="I147" t="s">
        <v>1303</v>
      </c>
      <c r="J147" t="s">
        <v>77</v>
      </c>
      <c r="K147" t="s">
        <v>74</v>
      </c>
      <c r="L147" t="s">
        <v>74</v>
      </c>
      <c r="M147" t="s">
        <v>78</v>
      </c>
      <c r="N147" t="s">
        <v>52</v>
      </c>
      <c r="O147" t="s">
        <v>79</v>
      </c>
      <c r="P147" t="s">
        <v>80</v>
      </c>
      <c r="Q147" t="s">
        <v>81</v>
      </c>
      <c r="R147" t="s">
        <v>74</v>
      </c>
      <c r="S147" t="s">
        <v>82</v>
      </c>
      <c r="T147" t="s">
        <v>74</v>
      </c>
      <c r="U147" t="s">
        <v>74</v>
      </c>
      <c r="V147" t="s">
        <v>74</v>
      </c>
      <c r="W147" t="s">
        <v>1304</v>
      </c>
      <c r="X147" t="s">
        <v>1305</v>
      </c>
      <c r="Y147" t="s">
        <v>74</v>
      </c>
      <c r="Z147" t="s">
        <v>74</v>
      </c>
      <c r="AA147" t="s">
        <v>74</v>
      </c>
      <c r="AB147" t="s">
        <v>74</v>
      </c>
      <c r="AC147" t="s">
        <v>74</v>
      </c>
      <c r="AD147" t="s">
        <v>74</v>
      </c>
      <c r="AE147" t="s">
        <v>74</v>
      </c>
      <c r="AF147" t="s">
        <v>74</v>
      </c>
      <c r="AG147">
        <v>5</v>
      </c>
      <c r="AH147">
        <v>0</v>
      </c>
      <c r="AI147">
        <v>0</v>
      </c>
      <c r="AJ147">
        <v>0</v>
      </c>
      <c r="AK147">
        <v>2</v>
      </c>
      <c r="AL147" t="s">
        <v>88</v>
      </c>
      <c r="AM147" t="s">
        <v>89</v>
      </c>
      <c r="AN147" t="s">
        <v>90</v>
      </c>
      <c r="AO147" t="s">
        <v>91</v>
      </c>
      <c r="AP147" t="s">
        <v>92</v>
      </c>
      <c r="AQ147" t="s">
        <v>74</v>
      </c>
      <c r="AR147" t="s">
        <v>93</v>
      </c>
      <c r="AS147" t="s">
        <v>94</v>
      </c>
      <c r="AT147" t="s">
        <v>95</v>
      </c>
      <c r="AU147">
        <v>2008</v>
      </c>
      <c r="AV147">
        <v>43</v>
      </c>
      <c r="AW147">
        <v>7</v>
      </c>
      <c r="AX147" t="s">
        <v>74</v>
      </c>
      <c r="AY147" t="s">
        <v>96</v>
      </c>
      <c r="AZ147" t="s">
        <v>74</v>
      </c>
      <c r="BA147" t="s">
        <v>74</v>
      </c>
      <c r="BB147" t="s">
        <v>1299</v>
      </c>
      <c r="BC147" t="s">
        <v>1299</v>
      </c>
      <c r="BD147" t="s">
        <v>74</v>
      </c>
      <c r="BE147" t="s">
        <v>74</v>
      </c>
      <c r="BF147" t="s">
        <v>74</v>
      </c>
      <c r="BG147" t="s">
        <v>74</v>
      </c>
      <c r="BH147" t="s">
        <v>74</v>
      </c>
      <c r="BI147">
        <v>1</v>
      </c>
      <c r="BJ147" t="s">
        <v>98</v>
      </c>
      <c r="BK147" t="s">
        <v>99</v>
      </c>
      <c r="BL147" t="s">
        <v>98</v>
      </c>
      <c r="BM147" t="s">
        <v>100</v>
      </c>
      <c r="BN147" t="s">
        <v>74</v>
      </c>
      <c r="BO147" t="s">
        <v>74</v>
      </c>
      <c r="BP147" t="s">
        <v>74</v>
      </c>
      <c r="BQ147" t="s">
        <v>74</v>
      </c>
      <c r="BR147" t="s">
        <v>101</v>
      </c>
      <c r="BS147" t="s">
        <v>1306</v>
      </c>
      <c r="BT147" t="str">
        <f>HYPERLINK("https%3A%2F%2Fwww.webofscience.com%2Fwos%2Fwoscc%2Ffull-record%2FWOS:000257683100164","View Full Record in Web of Science")</f>
        <v>View Full Record in Web of Science</v>
      </c>
    </row>
    <row r="148" spans="1:72" x14ac:dyDescent="0.15">
      <c r="A148" t="s">
        <v>72</v>
      </c>
      <c r="B148" t="s">
        <v>1307</v>
      </c>
      <c r="C148" t="s">
        <v>74</v>
      </c>
      <c r="D148" t="s">
        <v>74</v>
      </c>
      <c r="E148" t="s">
        <v>74</v>
      </c>
      <c r="F148" t="s">
        <v>1308</v>
      </c>
      <c r="G148" t="s">
        <v>74</v>
      </c>
      <c r="H148" t="s">
        <v>74</v>
      </c>
      <c r="I148" t="s">
        <v>1309</v>
      </c>
      <c r="J148" t="s">
        <v>77</v>
      </c>
      <c r="K148" t="s">
        <v>74</v>
      </c>
      <c r="L148" t="s">
        <v>74</v>
      </c>
      <c r="M148" t="s">
        <v>78</v>
      </c>
      <c r="N148" t="s">
        <v>52</v>
      </c>
      <c r="O148" t="s">
        <v>79</v>
      </c>
      <c r="P148" t="s">
        <v>80</v>
      </c>
      <c r="Q148" t="s">
        <v>81</v>
      </c>
      <c r="R148" t="s">
        <v>74</v>
      </c>
      <c r="S148" t="s">
        <v>82</v>
      </c>
      <c r="T148" t="s">
        <v>74</v>
      </c>
      <c r="U148" t="s">
        <v>74</v>
      </c>
      <c r="V148" t="s">
        <v>74</v>
      </c>
      <c r="W148" t="s">
        <v>1310</v>
      </c>
      <c r="X148" t="s">
        <v>1311</v>
      </c>
      <c r="Y148" t="s">
        <v>74</v>
      </c>
      <c r="Z148" t="s">
        <v>1312</v>
      </c>
      <c r="AA148" t="s">
        <v>1313</v>
      </c>
      <c r="AB148" t="s">
        <v>1314</v>
      </c>
      <c r="AC148" t="s">
        <v>74</v>
      </c>
      <c r="AD148" t="s">
        <v>74</v>
      </c>
      <c r="AE148" t="s">
        <v>74</v>
      </c>
      <c r="AF148" t="s">
        <v>74</v>
      </c>
      <c r="AG148">
        <v>5</v>
      </c>
      <c r="AH148">
        <v>0</v>
      </c>
      <c r="AI148">
        <v>0</v>
      </c>
      <c r="AJ148">
        <v>0</v>
      </c>
      <c r="AK148">
        <v>0</v>
      </c>
      <c r="AL148" t="s">
        <v>109</v>
      </c>
      <c r="AM148" t="s">
        <v>110</v>
      </c>
      <c r="AN148" t="s">
        <v>111</v>
      </c>
      <c r="AO148" t="s">
        <v>91</v>
      </c>
      <c r="AP148" t="s">
        <v>74</v>
      </c>
      <c r="AQ148" t="s">
        <v>74</v>
      </c>
      <c r="AR148" t="s">
        <v>93</v>
      </c>
      <c r="AS148" t="s">
        <v>94</v>
      </c>
      <c r="AT148" t="s">
        <v>95</v>
      </c>
      <c r="AU148">
        <v>2008</v>
      </c>
      <c r="AV148">
        <v>43</v>
      </c>
      <c r="AW148">
        <v>7</v>
      </c>
      <c r="AX148" t="s">
        <v>74</v>
      </c>
      <c r="AY148" t="s">
        <v>96</v>
      </c>
      <c r="AZ148" t="s">
        <v>74</v>
      </c>
      <c r="BA148" t="s">
        <v>74</v>
      </c>
      <c r="BB148" t="s">
        <v>1315</v>
      </c>
      <c r="BC148" t="s">
        <v>1315</v>
      </c>
      <c r="BD148" t="s">
        <v>74</v>
      </c>
      <c r="BE148" t="s">
        <v>74</v>
      </c>
      <c r="BF148" t="s">
        <v>74</v>
      </c>
      <c r="BG148" t="s">
        <v>74</v>
      </c>
      <c r="BH148" t="s">
        <v>74</v>
      </c>
      <c r="BI148">
        <v>1</v>
      </c>
      <c r="BJ148" t="s">
        <v>98</v>
      </c>
      <c r="BK148" t="s">
        <v>113</v>
      </c>
      <c r="BL148" t="s">
        <v>98</v>
      </c>
      <c r="BM148" t="s">
        <v>100</v>
      </c>
      <c r="BN148" t="s">
        <v>74</v>
      </c>
      <c r="BO148" t="s">
        <v>74</v>
      </c>
      <c r="BP148" t="s">
        <v>74</v>
      </c>
      <c r="BQ148" t="s">
        <v>74</v>
      </c>
      <c r="BR148" t="s">
        <v>101</v>
      </c>
      <c r="BS148" t="s">
        <v>1316</v>
      </c>
      <c r="BT148" t="str">
        <f>HYPERLINK("https%3A%2F%2Fwww.webofscience.com%2Fwos%2Fwoscc%2Ffull-record%2FWOS:000257683100165","View Full Record in Web of Science")</f>
        <v>View Full Record in Web of Science</v>
      </c>
    </row>
    <row r="149" spans="1:72" x14ac:dyDescent="0.15">
      <c r="A149" t="s">
        <v>72</v>
      </c>
      <c r="B149" t="s">
        <v>1317</v>
      </c>
      <c r="C149" t="s">
        <v>74</v>
      </c>
      <c r="D149" t="s">
        <v>74</v>
      </c>
      <c r="E149" t="s">
        <v>74</v>
      </c>
      <c r="F149" t="s">
        <v>1318</v>
      </c>
      <c r="G149" t="s">
        <v>74</v>
      </c>
      <c r="H149" t="s">
        <v>74</v>
      </c>
      <c r="I149" t="s">
        <v>1319</v>
      </c>
      <c r="J149" t="s">
        <v>77</v>
      </c>
      <c r="K149" t="s">
        <v>74</v>
      </c>
      <c r="L149" t="s">
        <v>74</v>
      </c>
      <c r="M149" t="s">
        <v>78</v>
      </c>
      <c r="N149" t="s">
        <v>52</v>
      </c>
      <c r="O149" t="s">
        <v>79</v>
      </c>
      <c r="P149" t="s">
        <v>80</v>
      </c>
      <c r="Q149" t="s">
        <v>81</v>
      </c>
      <c r="R149" t="s">
        <v>74</v>
      </c>
      <c r="S149" t="s">
        <v>82</v>
      </c>
      <c r="T149" t="s">
        <v>74</v>
      </c>
      <c r="U149" t="s">
        <v>720</v>
      </c>
      <c r="V149" t="s">
        <v>74</v>
      </c>
      <c r="W149" t="s">
        <v>1320</v>
      </c>
      <c r="X149" t="s">
        <v>1321</v>
      </c>
      <c r="Y149" t="s">
        <v>74</v>
      </c>
      <c r="Z149" t="s">
        <v>74</v>
      </c>
      <c r="AA149" t="s">
        <v>74</v>
      </c>
      <c r="AB149" t="s">
        <v>74</v>
      </c>
      <c r="AC149" t="s">
        <v>74</v>
      </c>
      <c r="AD149" t="s">
        <v>74</v>
      </c>
      <c r="AE149" t="s">
        <v>74</v>
      </c>
      <c r="AF149" t="s">
        <v>74</v>
      </c>
      <c r="AG149">
        <v>10</v>
      </c>
      <c r="AH149">
        <v>0</v>
      </c>
      <c r="AI149">
        <v>0</v>
      </c>
      <c r="AJ149">
        <v>0</v>
      </c>
      <c r="AK149">
        <v>1</v>
      </c>
      <c r="AL149" t="s">
        <v>109</v>
      </c>
      <c r="AM149" t="s">
        <v>110</v>
      </c>
      <c r="AN149" t="s">
        <v>111</v>
      </c>
      <c r="AO149" t="s">
        <v>91</v>
      </c>
      <c r="AP149" t="s">
        <v>74</v>
      </c>
      <c r="AQ149" t="s">
        <v>74</v>
      </c>
      <c r="AR149" t="s">
        <v>93</v>
      </c>
      <c r="AS149" t="s">
        <v>94</v>
      </c>
      <c r="AT149" t="s">
        <v>95</v>
      </c>
      <c r="AU149">
        <v>2008</v>
      </c>
      <c r="AV149">
        <v>43</v>
      </c>
      <c r="AW149">
        <v>7</v>
      </c>
      <c r="AX149" t="s">
        <v>74</v>
      </c>
      <c r="AY149" t="s">
        <v>96</v>
      </c>
      <c r="AZ149" t="s">
        <v>74</v>
      </c>
      <c r="BA149" t="s">
        <v>74</v>
      </c>
      <c r="BB149" t="s">
        <v>1315</v>
      </c>
      <c r="BC149" t="s">
        <v>1315</v>
      </c>
      <c r="BD149" t="s">
        <v>74</v>
      </c>
      <c r="BE149" t="s">
        <v>74</v>
      </c>
      <c r="BF149" t="s">
        <v>74</v>
      </c>
      <c r="BG149" t="s">
        <v>74</v>
      </c>
      <c r="BH149" t="s">
        <v>74</v>
      </c>
      <c r="BI149">
        <v>1</v>
      </c>
      <c r="BJ149" t="s">
        <v>98</v>
      </c>
      <c r="BK149" t="s">
        <v>113</v>
      </c>
      <c r="BL149" t="s">
        <v>98</v>
      </c>
      <c r="BM149" t="s">
        <v>100</v>
      </c>
      <c r="BN149" t="s">
        <v>74</v>
      </c>
      <c r="BO149" t="s">
        <v>74</v>
      </c>
      <c r="BP149" t="s">
        <v>74</v>
      </c>
      <c r="BQ149" t="s">
        <v>74</v>
      </c>
      <c r="BR149" t="s">
        <v>101</v>
      </c>
      <c r="BS149" t="s">
        <v>1322</v>
      </c>
      <c r="BT149" t="str">
        <f>HYPERLINK("https%3A%2F%2Fwww.webofscience.com%2Fwos%2Fwoscc%2Ffull-record%2FWOS:000257683100166","View Full Record in Web of Science")</f>
        <v>View Full Record in Web of Science</v>
      </c>
    </row>
    <row r="150" spans="1:72" x14ac:dyDescent="0.15">
      <c r="A150" t="s">
        <v>72</v>
      </c>
      <c r="B150" t="s">
        <v>1323</v>
      </c>
      <c r="C150" t="s">
        <v>74</v>
      </c>
      <c r="D150" t="s">
        <v>74</v>
      </c>
      <c r="E150" t="s">
        <v>74</v>
      </c>
      <c r="F150" t="s">
        <v>1324</v>
      </c>
      <c r="G150" t="s">
        <v>74</v>
      </c>
      <c r="H150" t="s">
        <v>74</v>
      </c>
      <c r="I150" t="s">
        <v>1325</v>
      </c>
      <c r="J150" t="s">
        <v>77</v>
      </c>
      <c r="K150" t="s">
        <v>74</v>
      </c>
      <c r="L150" t="s">
        <v>74</v>
      </c>
      <c r="M150" t="s">
        <v>78</v>
      </c>
      <c r="N150" t="s">
        <v>52</v>
      </c>
      <c r="O150" t="s">
        <v>79</v>
      </c>
      <c r="P150" t="s">
        <v>80</v>
      </c>
      <c r="Q150" t="s">
        <v>81</v>
      </c>
      <c r="R150" t="s">
        <v>74</v>
      </c>
      <c r="S150" t="s">
        <v>82</v>
      </c>
      <c r="T150" t="s">
        <v>74</v>
      </c>
      <c r="U150" t="s">
        <v>74</v>
      </c>
      <c r="V150" t="s">
        <v>74</v>
      </c>
      <c r="W150" t="s">
        <v>1326</v>
      </c>
      <c r="X150" t="s">
        <v>1327</v>
      </c>
      <c r="Y150" t="s">
        <v>74</v>
      </c>
      <c r="Z150" t="s">
        <v>1328</v>
      </c>
      <c r="AA150" t="s">
        <v>74</v>
      </c>
      <c r="AB150" t="s">
        <v>74</v>
      </c>
      <c r="AC150" t="s">
        <v>74</v>
      </c>
      <c r="AD150" t="s">
        <v>74</v>
      </c>
      <c r="AE150" t="s">
        <v>74</v>
      </c>
      <c r="AF150" t="s">
        <v>74</v>
      </c>
      <c r="AG150">
        <v>3</v>
      </c>
      <c r="AH150">
        <v>0</v>
      </c>
      <c r="AI150">
        <v>0</v>
      </c>
      <c r="AJ150">
        <v>0</v>
      </c>
      <c r="AK150">
        <v>0</v>
      </c>
      <c r="AL150" t="s">
        <v>149</v>
      </c>
      <c r="AM150" t="s">
        <v>150</v>
      </c>
      <c r="AN150" t="s">
        <v>151</v>
      </c>
      <c r="AO150" t="s">
        <v>91</v>
      </c>
      <c r="AP150" t="s">
        <v>74</v>
      </c>
      <c r="AQ150" t="s">
        <v>74</v>
      </c>
      <c r="AR150" t="s">
        <v>93</v>
      </c>
      <c r="AS150" t="s">
        <v>94</v>
      </c>
      <c r="AT150" t="s">
        <v>95</v>
      </c>
      <c r="AU150">
        <v>2008</v>
      </c>
      <c r="AV150">
        <v>43</v>
      </c>
      <c r="AW150">
        <v>7</v>
      </c>
      <c r="AX150" t="s">
        <v>74</v>
      </c>
      <c r="AY150" t="s">
        <v>96</v>
      </c>
      <c r="AZ150" t="s">
        <v>74</v>
      </c>
      <c r="BA150" t="s">
        <v>74</v>
      </c>
      <c r="BB150" t="s">
        <v>1329</v>
      </c>
      <c r="BC150" t="s">
        <v>1329</v>
      </c>
      <c r="BD150" t="s">
        <v>74</v>
      </c>
      <c r="BE150" t="s">
        <v>74</v>
      </c>
      <c r="BF150" t="s">
        <v>74</v>
      </c>
      <c r="BG150" t="s">
        <v>74</v>
      </c>
      <c r="BH150" t="s">
        <v>74</v>
      </c>
      <c r="BI150">
        <v>1</v>
      </c>
      <c r="BJ150" t="s">
        <v>98</v>
      </c>
      <c r="BK150" t="s">
        <v>99</v>
      </c>
      <c r="BL150" t="s">
        <v>98</v>
      </c>
      <c r="BM150" t="s">
        <v>100</v>
      </c>
      <c r="BN150" t="s">
        <v>74</v>
      </c>
      <c r="BO150" t="s">
        <v>74</v>
      </c>
      <c r="BP150" t="s">
        <v>74</v>
      </c>
      <c r="BQ150" t="s">
        <v>74</v>
      </c>
      <c r="BR150" t="s">
        <v>101</v>
      </c>
      <c r="BS150" t="s">
        <v>1330</v>
      </c>
      <c r="BT150" t="str">
        <f>HYPERLINK("https%3A%2F%2Fwww.webofscience.com%2Fwos%2Fwoscc%2Ffull-record%2FWOS:000257683100167","View Full Record in Web of Science")</f>
        <v>View Full Record in Web of Science</v>
      </c>
    </row>
    <row r="151" spans="1:72" x14ac:dyDescent="0.15">
      <c r="A151" t="s">
        <v>72</v>
      </c>
      <c r="B151" t="s">
        <v>1331</v>
      </c>
      <c r="C151" t="s">
        <v>74</v>
      </c>
      <c r="D151" t="s">
        <v>74</v>
      </c>
      <c r="E151" t="s">
        <v>74</v>
      </c>
      <c r="F151" t="s">
        <v>1332</v>
      </c>
      <c r="G151" t="s">
        <v>74</v>
      </c>
      <c r="H151" t="s">
        <v>74</v>
      </c>
      <c r="I151" t="s">
        <v>1333</v>
      </c>
      <c r="J151" t="s">
        <v>77</v>
      </c>
      <c r="K151" t="s">
        <v>74</v>
      </c>
      <c r="L151" t="s">
        <v>74</v>
      </c>
      <c r="M151" t="s">
        <v>78</v>
      </c>
      <c r="N151" t="s">
        <v>52</v>
      </c>
      <c r="O151" t="s">
        <v>79</v>
      </c>
      <c r="P151" t="s">
        <v>80</v>
      </c>
      <c r="Q151" t="s">
        <v>81</v>
      </c>
      <c r="R151" t="s">
        <v>74</v>
      </c>
      <c r="S151" t="s">
        <v>82</v>
      </c>
      <c r="T151" t="s">
        <v>74</v>
      </c>
      <c r="U151" t="s">
        <v>1334</v>
      </c>
      <c r="V151" t="s">
        <v>74</v>
      </c>
      <c r="W151" t="s">
        <v>1335</v>
      </c>
      <c r="X151" t="s">
        <v>1336</v>
      </c>
      <c r="Y151" t="s">
        <v>74</v>
      </c>
      <c r="Z151" t="s">
        <v>1337</v>
      </c>
      <c r="AA151" t="s">
        <v>1338</v>
      </c>
      <c r="AB151" t="s">
        <v>1339</v>
      </c>
      <c r="AC151" t="s">
        <v>74</v>
      </c>
      <c r="AD151" t="s">
        <v>74</v>
      </c>
      <c r="AE151" t="s">
        <v>74</v>
      </c>
      <c r="AF151" t="s">
        <v>74</v>
      </c>
      <c r="AG151">
        <v>2</v>
      </c>
      <c r="AH151">
        <v>1</v>
      </c>
      <c r="AI151">
        <v>1</v>
      </c>
      <c r="AJ151">
        <v>0</v>
      </c>
      <c r="AK151">
        <v>0</v>
      </c>
      <c r="AL151" t="s">
        <v>109</v>
      </c>
      <c r="AM151" t="s">
        <v>110</v>
      </c>
      <c r="AN151" t="s">
        <v>111</v>
      </c>
      <c r="AO151" t="s">
        <v>91</v>
      </c>
      <c r="AP151" t="s">
        <v>74</v>
      </c>
      <c r="AQ151" t="s">
        <v>74</v>
      </c>
      <c r="AR151" t="s">
        <v>93</v>
      </c>
      <c r="AS151" t="s">
        <v>94</v>
      </c>
      <c r="AT151" t="s">
        <v>95</v>
      </c>
      <c r="AU151">
        <v>2008</v>
      </c>
      <c r="AV151">
        <v>43</v>
      </c>
      <c r="AW151">
        <v>7</v>
      </c>
      <c r="AX151" t="s">
        <v>74</v>
      </c>
      <c r="AY151" t="s">
        <v>96</v>
      </c>
      <c r="AZ151" t="s">
        <v>74</v>
      </c>
      <c r="BA151" t="s">
        <v>74</v>
      </c>
      <c r="BB151" t="s">
        <v>1329</v>
      </c>
      <c r="BC151" t="s">
        <v>1329</v>
      </c>
      <c r="BD151" t="s">
        <v>74</v>
      </c>
      <c r="BE151" t="s">
        <v>74</v>
      </c>
      <c r="BF151" t="s">
        <v>74</v>
      </c>
      <c r="BG151" t="s">
        <v>74</v>
      </c>
      <c r="BH151" t="s">
        <v>74</v>
      </c>
      <c r="BI151">
        <v>1</v>
      </c>
      <c r="BJ151" t="s">
        <v>98</v>
      </c>
      <c r="BK151" t="s">
        <v>113</v>
      </c>
      <c r="BL151" t="s">
        <v>98</v>
      </c>
      <c r="BM151" t="s">
        <v>100</v>
      </c>
      <c r="BN151" t="s">
        <v>74</v>
      </c>
      <c r="BO151" t="s">
        <v>74</v>
      </c>
      <c r="BP151" t="s">
        <v>74</v>
      </c>
      <c r="BQ151" t="s">
        <v>74</v>
      </c>
      <c r="BR151" t="s">
        <v>101</v>
      </c>
      <c r="BS151" t="s">
        <v>1340</v>
      </c>
      <c r="BT151" t="str">
        <f>HYPERLINK("https%3A%2F%2Fwww.webofscience.com%2Fwos%2Fwoscc%2Ffull-record%2FWOS:000257683100168","View Full Record in Web of Science")</f>
        <v>View Full Record in Web of Science</v>
      </c>
    </row>
    <row r="152" spans="1:72" x14ac:dyDescent="0.15">
      <c r="A152" t="s">
        <v>72</v>
      </c>
      <c r="B152" t="s">
        <v>1341</v>
      </c>
      <c r="C152" t="s">
        <v>74</v>
      </c>
      <c r="D152" t="s">
        <v>74</v>
      </c>
      <c r="E152" t="s">
        <v>74</v>
      </c>
      <c r="F152" t="s">
        <v>1342</v>
      </c>
      <c r="G152" t="s">
        <v>74</v>
      </c>
      <c r="H152" t="s">
        <v>74</v>
      </c>
      <c r="I152" t="s">
        <v>1343</v>
      </c>
      <c r="J152" t="s">
        <v>77</v>
      </c>
      <c r="K152" t="s">
        <v>74</v>
      </c>
      <c r="L152" t="s">
        <v>74</v>
      </c>
      <c r="M152" t="s">
        <v>78</v>
      </c>
      <c r="N152" t="s">
        <v>52</v>
      </c>
      <c r="O152" t="s">
        <v>79</v>
      </c>
      <c r="P152" t="s">
        <v>80</v>
      </c>
      <c r="Q152" t="s">
        <v>81</v>
      </c>
      <c r="R152" t="s">
        <v>74</v>
      </c>
      <c r="S152" t="s">
        <v>82</v>
      </c>
      <c r="T152" t="s">
        <v>74</v>
      </c>
      <c r="U152" t="s">
        <v>1344</v>
      </c>
      <c r="V152" t="s">
        <v>74</v>
      </c>
      <c r="W152" t="s">
        <v>1345</v>
      </c>
      <c r="X152" t="s">
        <v>1346</v>
      </c>
      <c r="Y152" t="s">
        <v>74</v>
      </c>
      <c r="Z152" t="s">
        <v>1347</v>
      </c>
      <c r="AA152" t="s">
        <v>1348</v>
      </c>
      <c r="AB152" t="s">
        <v>1349</v>
      </c>
      <c r="AC152" t="s">
        <v>74</v>
      </c>
      <c r="AD152" t="s">
        <v>74</v>
      </c>
      <c r="AE152" t="s">
        <v>74</v>
      </c>
      <c r="AF152" t="s">
        <v>74</v>
      </c>
      <c r="AG152">
        <v>5</v>
      </c>
      <c r="AH152">
        <v>1</v>
      </c>
      <c r="AI152">
        <v>1</v>
      </c>
      <c r="AJ152">
        <v>0</v>
      </c>
      <c r="AK152">
        <v>1</v>
      </c>
      <c r="AL152" t="s">
        <v>149</v>
      </c>
      <c r="AM152" t="s">
        <v>150</v>
      </c>
      <c r="AN152" t="s">
        <v>151</v>
      </c>
      <c r="AO152" t="s">
        <v>91</v>
      </c>
      <c r="AP152" t="s">
        <v>74</v>
      </c>
      <c r="AQ152" t="s">
        <v>74</v>
      </c>
      <c r="AR152" t="s">
        <v>93</v>
      </c>
      <c r="AS152" t="s">
        <v>94</v>
      </c>
      <c r="AT152" t="s">
        <v>95</v>
      </c>
      <c r="AU152">
        <v>2008</v>
      </c>
      <c r="AV152">
        <v>43</v>
      </c>
      <c r="AW152">
        <v>7</v>
      </c>
      <c r="AX152" t="s">
        <v>74</v>
      </c>
      <c r="AY152" t="s">
        <v>96</v>
      </c>
      <c r="AZ152" t="s">
        <v>74</v>
      </c>
      <c r="BA152" t="s">
        <v>74</v>
      </c>
      <c r="BB152" t="s">
        <v>1350</v>
      </c>
      <c r="BC152" t="s">
        <v>1350</v>
      </c>
      <c r="BD152" t="s">
        <v>74</v>
      </c>
      <c r="BE152" t="s">
        <v>74</v>
      </c>
      <c r="BF152" t="s">
        <v>74</v>
      </c>
      <c r="BG152" t="s">
        <v>74</v>
      </c>
      <c r="BH152" t="s">
        <v>74</v>
      </c>
      <c r="BI152">
        <v>1</v>
      </c>
      <c r="BJ152" t="s">
        <v>98</v>
      </c>
      <c r="BK152" t="s">
        <v>99</v>
      </c>
      <c r="BL152" t="s">
        <v>98</v>
      </c>
      <c r="BM152" t="s">
        <v>100</v>
      </c>
      <c r="BN152" t="s">
        <v>74</v>
      </c>
      <c r="BO152" t="s">
        <v>74</v>
      </c>
      <c r="BP152" t="s">
        <v>74</v>
      </c>
      <c r="BQ152" t="s">
        <v>74</v>
      </c>
      <c r="BR152" t="s">
        <v>101</v>
      </c>
      <c r="BS152" t="s">
        <v>1351</v>
      </c>
      <c r="BT152" t="str">
        <f>HYPERLINK("https%3A%2F%2Fwww.webofscience.com%2Fwos%2Fwoscc%2Ffull-record%2FWOS:000257683100169","View Full Record in Web of Science")</f>
        <v>View Full Record in Web of Science</v>
      </c>
    </row>
    <row r="153" spans="1:72" x14ac:dyDescent="0.15">
      <c r="A153" t="s">
        <v>72</v>
      </c>
      <c r="B153" t="s">
        <v>1352</v>
      </c>
      <c r="C153" t="s">
        <v>74</v>
      </c>
      <c r="D153" t="s">
        <v>74</v>
      </c>
      <c r="E153" t="s">
        <v>74</v>
      </c>
      <c r="F153" t="s">
        <v>1353</v>
      </c>
      <c r="G153" t="s">
        <v>74</v>
      </c>
      <c r="H153" t="s">
        <v>74</v>
      </c>
      <c r="I153" t="s">
        <v>1354</v>
      </c>
      <c r="J153" t="s">
        <v>77</v>
      </c>
      <c r="K153" t="s">
        <v>74</v>
      </c>
      <c r="L153" t="s">
        <v>74</v>
      </c>
      <c r="M153" t="s">
        <v>78</v>
      </c>
      <c r="N153" t="s">
        <v>52</v>
      </c>
      <c r="O153" t="s">
        <v>79</v>
      </c>
      <c r="P153" t="s">
        <v>80</v>
      </c>
      <c r="Q153" t="s">
        <v>81</v>
      </c>
      <c r="R153" t="s">
        <v>74</v>
      </c>
      <c r="S153" t="s">
        <v>82</v>
      </c>
      <c r="T153" t="s">
        <v>74</v>
      </c>
      <c r="U153" t="s">
        <v>186</v>
      </c>
      <c r="V153" t="s">
        <v>74</v>
      </c>
      <c r="W153" t="s">
        <v>1355</v>
      </c>
      <c r="X153" t="s">
        <v>1356</v>
      </c>
      <c r="Y153" t="s">
        <v>74</v>
      </c>
      <c r="Z153" t="s">
        <v>1357</v>
      </c>
      <c r="AA153" t="s">
        <v>74</v>
      </c>
      <c r="AB153" t="s">
        <v>74</v>
      </c>
      <c r="AC153" t="s">
        <v>74</v>
      </c>
      <c r="AD153" t="s">
        <v>74</v>
      </c>
      <c r="AE153" t="s">
        <v>74</v>
      </c>
      <c r="AF153" t="s">
        <v>74</v>
      </c>
      <c r="AG153">
        <v>5</v>
      </c>
      <c r="AH153">
        <v>0</v>
      </c>
      <c r="AI153">
        <v>0</v>
      </c>
      <c r="AJ153">
        <v>0</v>
      </c>
      <c r="AK153">
        <v>0</v>
      </c>
      <c r="AL153" t="s">
        <v>88</v>
      </c>
      <c r="AM153" t="s">
        <v>89</v>
      </c>
      <c r="AN153" t="s">
        <v>90</v>
      </c>
      <c r="AO153" t="s">
        <v>91</v>
      </c>
      <c r="AP153" t="s">
        <v>92</v>
      </c>
      <c r="AQ153" t="s">
        <v>74</v>
      </c>
      <c r="AR153" t="s">
        <v>93</v>
      </c>
      <c r="AS153" t="s">
        <v>94</v>
      </c>
      <c r="AT153" t="s">
        <v>95</v>
      </c>
      <c r="AU153">
        <v>2008</v>
      </c>
      <c r="AV153">
        <v>43</v>
      </c>
      <c r="AW153">
        <v>7</v>
      </c>
      <c r="AX153" t="s">
        <v>74</v>
      </c>
      <c r="AY153" t="s">
        <v>96</v>
      </c>
      <c r="AZ153" t="s">
        <v>74</v>
      </c>
      <c r="BA153" t="s">
        <v>74</v>
      </c>
      <c r="BB153" t="s">
        <v>1350</v>
      </c>
      <c r="BC153" t="s">
        <v>1350</v>
      </c>
      <c r="BD153" t="s">
        <v>74</v>
      </c>
      <c r="BE153" t="s">
        <v>74</v>
      </c>
      <c r="BF153" t="s">
        <v>74</v>
      </c>
      <c r="BG153" t="s">
        <v>74</v>
      </c>
      <c r="BH153" t="s">
        <v>74</v>
      </c>
      <c r="BI153">
        <v>1</v>
      </c>
      <c r="BJ153" t="s">
        <v>98</v>
      </c>
      <c r="BK153" t="s">
        <v>99</v>
      </c>
      <c r="BL153" t="s">
        <v>98</v>
      </c>
      <c r="BM153" t="s">
        <v>100</v>
      </c>
      <c r="BN153" t="s">
        <v>74</v>
      </c>
      <c r="BO153" t="s">
        <v>74</v>
      </c>
      <c r="BP153" t="s">
        <v>74</v>
      </c>
      <c r="BQ153" t="s">
        <v>74</v>
      </c>
      <c r="BR153" t="s">
        <v>101</v>
      </c>
      <c r="BS153" t="s">
        <v>1358</v>
      </c>
      <c r="BT153" t="str">
        <f>HYPERLINK("https%3A%2F%2Fwww.webofscience.com%2Fwos%2Fwoscc%2Ffull-record%2FWOS:000257683100170","View Full Record in Web of Science")</f>
        <v>View Full Record in Web of Science</v>
      </c>
    </row>
    <row r="154" spans="1:72" x14ac:dyDescent="0.15">
      <c r="A154" t="s">
        <v>72</v>
      </c>
      <c r="B154" t="s">
        <v>1359</v>
      </c>
      <c r="C154" t="s">
        <v>74</v>
      </c>
      <c r="D154" t="s">
        <v>74</v>
      </c>
      <c r="E154" t="s">
        <v>74</v>
      </c>
      <c r="F154" t="s">
        <v>1360</v>
      </c>
      <c r="G154" t="s">
        <v>74</v>
      </c>
      <c r="H154" t="s">
        <v>74</v>
      </c>
      <c r="I154" t="s">
        <v>1361</v>
      </c>
      <c r="J154" t="s">
        <v>77</v>
      </c>
      <c r="K154" t="s">
        <v>74</v>
      </c>
      <c r="L154" t="s">
        <v>74</v>
      </c>
      <c r="M154" t="s">
        <v>78</v>
      </c>
      <c r="N154" t="s">
        <v>52</v>
      </c>
      <c r="O154" t="s">
        <v>79</v>
      </c>
      <c r="P154" t="s">
        <v>80</v>
      </c>
      <c r="Q154" t="s">
        <v>81</v>
      </c>
      <c r="R154" t="s">
        <v>74</v>
      </c>
      <c r="S154" t="s">
        <v>82</v>
      </c>
      <c r="T154" t="s">
        <v>74</v>
      </c>
      <c r="U154" t="s">
        <v>74</v>
      </c>
      <c r="V154" t="s">
        <v>74</v>
      </c>
      <c r="W154" t="s">
        <v>1362</v>
      </c>
      <c r="X154" t="s">
        <v>1363</v>
      </c>
      <c r="Y154" t="s">
        <v>74</v>
      </c>
      <c r="Z154" t="s">
        <v>1364</v>
      </c>
      <c r="AA154" t="s">
        <v>1365</v>
      </c>
      <c r="AB154" t="s">
        <v>1366</v>
      </c>
      <c r="AC154" t="s">
        <v>74</v>
      </c>
      <c r="AD154" t="s">
        <v>74</v>
      </c>
      <c r="AE154" t="s">
        <v>74</v>
      </c>
      <c r="AF154" t="s">
        <v>74</v>
      </c>
      <c r="AG154">
        <v>6</v>
      </c>
      <c r="AH154">
        <v>3</v>
      </c>
      <c r="AI154">
        <v>3</v>
      </c>
      <c r="AJ154">
        <v>0</v>
      </c>
      <c r="AK154">
        <v>0</v>
      </c>
      <c r="AL154" t="s">
        <v>88</v>
      </c>
      <c r="AM154" t="s">
        <v>89</v>
      </c>
      <c r="AN154" t="s">
        <v>90</v>
      </c>
      <c r="AO154" t="s">
        <v>91</v>
      </c>
      <c r="AP154" t="s">
        <v>92</v>
      </c>
      <c r="AQ154" t="s">
        <v>74</v>
      </c>
      <c r="AR154" t="s">
        <v>93</v>
      </c>
      <c r="AS154" t="s">
        <v>94</v>
      </c>
      <c r="AT154" t="s">
        <v>95</v>
      </c>
      <c r="AU154">
        <v>2008</v>
      </c>
      <c r="AV154">
        <v>43</v>
      </c>
      <c r="AW154">
        <v>7</v>
      </c>
      <c r="AX154" t="s">
        <v>74</v>
      </c>
      <c r="AY154" t="s">
        <v>96</v>
      </c>
      <c r="AZ154" t="s">
        <v>74</v>
      </c>
      <c r="BA154" t="s">
        <v>74</v>
      </c>
      <c r="BB154" t="s">
        <v>1367</v>
      </c>
      <c r="BC154" t="s">
        <v>1367</v>
      </c>
      <c r="BD154" t="s">
        <v>74</v>
      </c>
      <c r="BE154" t="s">
        <v>74</v>
      </c>
      <c r="BF154" t="s">
        <v>74</v>
      </c>
      <c r="BG154" t="s">
        <v>74</v>
      </c>
      <c r="BH154" t="s">
        <v>74</v>
      </c>
      <c r="BI154">
        <v>1</v>
      </c>
      <c r="BJ154" t="s">
        <v>98</v>
      </c>
      <c r="BK154" t="s">
        <v>99</v>
      </c>
      <c r="BL154" t="s">
        <v>98</v>
      </c>
      <c r="BM154" t="s">
        <v>100</v>
      </c>
      <c r="BN154" t="s">
        <v>74</v>
      </c>
      <c r="BO154" t="s">
        <v>74</v>
      </c>
      <c r="BP154" t="s">
        <v>74</v>
      </c>
      <c r="BQ154" t="s">
        <v>74</v>
      </c>
      <c r="BR154" t="s">
        <v>101</v>
      </c>
      <c r="BS154" t="s">
        <v>1368</v>
      </c>
      <c r="BT154" t="str">
        <f>HYPERLINK("https%3A%2F%2Fwww.webofscience.com%2Fwos%2Fwoscc%2Ffull-record%2FWOS:000257683100171","View Full Record in Web of Science")</f>
        <v>View Full Record in Web of Science</v>
      </c>
    </row>
    <row r="155" spans="1:72" x14ac:dyDescent="0.15">
      <c r="A155" t="s">
        <v>72</v>
      </c>
      <c r="B155" t="s">
        <v>1369</v>
      </c>
      <c r="C155" t="s">
        <v>74</v>
      </c>
      <c r="D155" t="s">
        <v>74</v>
      </c>
      <c r="E155" t="s">
        <v>74</v>
      </c>
      <c r="F155" t="s">
        <v>1370</v>
      </c>
      <c r="G155" t="s">
        <v>74</v>
      </c>
      <c r="H155" t="s">
        <v>74</v>
      </c>
      <c r="I155" t="s">
        <v>1371</v>
      </c>
      <c r="J155" t="s">
        <v>77</v>
      </c>
      <c r="K155" t="s">
        <v>74</v>
      </c>
      <c r="L155" t="s">
        <v>74</v>
      </c>
      <c r="M155" t="s">
        <v>78</v>
      </c>
      <c r="N155" t="s">
        <v>52</v>
      </c>
      <c r="O155" t="s">
        <v>79</v>
      </c>
      <c r="P155" t="s">
        <v>80</v>
      </c>
      <c r="Q155" t="s">
        <v>81</v>
      </c>
      <c r="R155" t="s">
        <v>74</v>
      </c>
      <c r="S155" t="s">
        <v>82</v>
      </c>
      <c r="T155" t="s">
        <v>74</v>
      </c>
      <c r="U155" t="s">
        <v>74</v>
      </c>
      <c r="V155" t="s">
        <v>74</v>
      </c>
      <c r="W155" t="s">
        <v>1372</v>
      </c>
      <c r="X155" t="s">
        <v>1373</v>
      </c>
      <c r="Y155" t="s">
        <v>74</v>
      </c>
      <c r="Z155" t="s">
        <v>1374</v>
      </c>
      <c r="AA155" t="s">
        <v>396</v>
      </c>
      <c r="AB155" t="s">
        <v>74</v>
      </c>
      <c r="AC155" t="s">
        <v>74</v>
      </c>
      <c r="AD155" t="s">
        <v>74</v>
      </c>
      <c r="AE155" t="s">
        <v>74</v>
      </c>
      <c r="AF155" t="s">
        <v>74</v>
      </c>
      <c r="AG155">
        <v>5</v>
      </c>
      <c r="AH155">
        <v>0</v>
      </c>
      <c r="AI155">
        <v>0</v>
      </c>
      <c r="AJ155">
        <v>0</v>
      </c>
      <c r="AK155">
        <v>4</v>
      </c>
      <c r="AL155" t="s">
        <v>149</v>
      </c>
      <c r="AM155" t="s">
        <v>150</v>
      </c>
      <c r="AN155" t="s">
        <v>151</v>
      </c>
      <c r="AO155" t="s">
        <v>91</v>
      </c>
      <c r="AP155" t="s">
        <v>74</v>
      </c>
      <c r="AQ155" t="s">
        <v>74</v>
      </c>
      <c r="AR155" t="s">
        <v>93</v>
      </c>
      <c r="AS155" t="s">
        <v>94</v>
      </c>
      <c r="AT155" t="s">
        <v>95</v>
      </c>
      <c r="AU155">
        <v>2008</v>
      </c>
      <c r="AV155">
        <v>43</v>
      </c>
      <c r="AW155">
        <v>7</v>
      </c>
      <c r="AX155" t="s">
        <v>74</v>
      </c>
      <c r="AY155" t="s">
        <v>96</v>
      </c>
      <c r="AZ155" t="s">
        <v>74</v>
      </c>
      <c r="BA155" t="s">
        <v>74</v>
      </c>
      <c r="BB155" t="s">
        <v>1375</v>
      </c>
      <c r="BC155" t="s">
        <v>1375</v>
      </c>
      <c r="BD155" t="s">
        <v>74</v>
      </c>
      <c r="BE155" t="s">
        <v>74</v>
      </c>
      <c r="BF155" t="s">
        <v>74</v>
      </c>
      <c r="BG155" t="s">
        <v>74</v>
      </c>
      <c r="BH155" t="s">
        <v>74</v>
      </c>
      <c r="BI155">
        <v>1</v>
      </c>
      <c r="BJ155" t="s">
        <v>98</v>
      </c>
      <c r="BK155" t="s">
        <v>99</v>
      </c>
      <c r="BL155" t="s">
        <v>98</v>
      </c>
      <c r="BM155" t="s">
        <v>100</v>
      </c>
      <c r="BN155" t="s">
        <v>74</v>
      </c>
      <c r="BO155" t="s">
        <v>74</v>
      </c>
      <c r="BP155" t="s">
        <v>74</v>
      </c>
      <c r="BQ155" t="s">
        <v>74</v>
      </c>
      <c r="BR155" t="s">
        <v>101</v>
      </c>
      <c r="BS155" t="s">
        <v>1376</v>
      </c>
      <c r="BT155" t="str">
        <f>HYPERLINK("https%3A%2F%2Fwww.webofscience.com%2Fwos%2Fwoscc%2Ffull-record%2FWOS:000257683100348","View Full Record in Web of Science")</f>
        <v>View Full Record in Web of Science</v>
      </c>
    </row>
    <row r="156" spans="1:72" x14ac:dyDescent="0.15">
      <c r="A156" t="s">
        <v>72</v>
      </c>
      <c r="B156" t="s">
        <v>1377</v>
      </c>
      <c r="C156" t="s">
        <v>74</v>
      </c>
      <c r="D156" t="s">
        <v>74</v>
      </c>
      <c r="E156" t="s">
        <v>74</v>
      </c>
      <c r="F156" t="s">
        <v>1378</v>
      </c>
      <c r="G156" t="s">
        <v>74</v>
      </c>
      <c r="H156" t="s">
        <v>74</v>
      </c>
      <c r="I156" t="s">
        <v>1379</v>
      </c>
      <c r="J156" t="s">
        <v>77</v>
      </c>
      <c r="K156" t="s">
        <v>74</v>
      </c>
      <c r="L156" t="s">
        <v>74</v>
      </c>
      <c r="M156" t="s">
        <v>78</v>
      </c>
      <c r="N156" t="s">
        <v>52</v>
      </c>
      <c r="O156" t="s">
        <v>79</v>
      </c>
      <c r="P156" t="s">
        <v>80</v>
      </c>
      <c r="Q156" t="s">
        <v>81</v>
      </c>
      <c r="R156" t="s">
        <v>74</v>
      </c>
      <c r="S156" t="s">
        <v>82</v>
      </c>
      <c r="T156" t="s">
        <v>74</v>
      </c>
      <c r="U156" t="s">
        <v>74</v>
      </c>
      <c r="V156" t="s">
        <v>74</v>
      </c>
      <c r="W156" t="s">
        <v>1380</v>
      </c>
      <c r="X156" t="s">
        <v>1381</v>
      </c>
      <c r="Y156" t="s">
        <v>74</v>
      </c>
      <c r="Z156" t="s">
        <v>1374</v>
      </c>
      <c r="AA156" t="s">
        <v>74</v>
      </c>
      <c r="AB156" t="s">
        <v>74</v>
      </c>
      <c r="AC156" t="s">
        <v>74</v>
      </c>
      <c r="AD156" t="s">
        <v>74</v>
      </c>
      <c r="AE156" t="s">
        <v>74</v>
      </c>
      <c r="AF156" t="s">
        <v>74</v>
      </c>
      <c r="AG156">
        <v>6</v>
      </c>
      <c r="AH156">
        <v>0</v>
      </c>
      <c r="AI156">
        <v>1</v>
      </c>
      <c r="AJ156">
        <v>0</v>
      </c>
      <c r="AK156">
        <v>2</v>
      </c>
      <c r="AL156" t="s">
        <v>109</v>
      </c>
      <c r="AM156" t="s">
        <v>110</v>
      </c>
      <c r="AN156" t="s">
        <v>111</v>
      </c>
      <c r="AO156" t="s">
        <v>91</v>
      </c>
      <c r="AP156" t="s">
        <v>74</v>
      </c>
      <c r="AQ156" t="s">
        <v>74</v>
      </c>
      <c r="AR156" t="s">
        <v>93</v>
      </c>
      <c r="AS156" t="s">
        <v>94</v>
      </c>
      <c r="AT156" t="s">
        <v>95</v>
      </c>
      <c r="AU156">
        <v>2008</v>
      </c>
      <c r="AV156">
        <v>43</v>
      </c>
      <c r="AW156">
        <v>7</v>
      </c>
      <c r="AX156" t="s">
        <v>74</v>
      </c>
      <c r="AY156" t="s">
        <v>96</v>
      </c>
      <c r="AZ156" t="s">
        <v>74</v>
      </c>
      <c r="BA156" t="s">
        <v>74</v>
      </c>
      <c r="BB156" t="s">
        <v>1367</v>
      </c>
      <c r="BC156" t="s">
        <v>1367</v>
      </c>
      <c r="BD156" t="s">
        <v>74</v>
      </c>
      <c r="BE156" t="s">
        <v>74</v>
      </c>
      <c r="BF156" t="s">
        <v>74</v>
      </c>
      <c r="BG156" t="s">
        <v>74</v>
      </c>
      <c r="BH156" t="s">
        <v>74</v>
      </c>
      <c r="BI156">
        <v>1</v>
      </c>
      <c r="BJ156" t="s">
        <v>98</v>
      </c>
      <c r="BK156" t="s">
        <v>113</v>
      </c>
      <c r="BL156" t="s">
        <v>98</v>
      </c>
      <c r="BM156" t="s">
        <v>100</v>
      </c>
      <c r="BN156" t="s">
        <v>74</v>
      </c>
      <c r="BO156" t="s">
        <v>74</v>
      </c>
      <c r="BP156" t="s">
        <v>74</v>
      </c>
      <c r="BQ156" t="s">
        <v>74</v>
      </c>
      <c r="BR156" t="s">
        <v>101</v>
      </c>
      <c r="BS156" t="s">
        <v>1382</v>
      </c>
      <c r="BT156" t="str">
        <f>HYPERLINK("https%3A%2F%2Fwww.webofscience.com%2Fwos%2Fwoscc%2Ffull-record%2FWOS:000257683100172","View Full Record in Web of Science")</f>
        <v>View Full Record in Web of Science</v>
      </c>
    </row>
    <row r="157" spans="1:72" x14ac:dyDescent="0.15">
      <c r="A157" t="s">
        <v>72</v>
      </c>
      <c r="B157" t="s">
        <v>1383</v>
      </c>
      <c r="C157" t="s">
        <v>74</v>
      </c>
      <c r="D157" t="s">
        <v>74</v>
      </c>
      <c r="E157" t="s">
        <v>74</v>
      </c>
      <c r="F157" t="s">
        <v>1384</v>
      </c>
      <c r="G157" t="s">
        <v>74</v>
      </c>
      <c r="H157" t="s">
        <v>74</v>
      </c>
      <c r="I157" t="s">
        <v>1385</v>
      </c>
      <c r="J157" t="s">
        <v>77</v>
      </c>
      <c r="K157" t="s">
        <v>74</v>
      </c>
      <c r="L157" t="s">
        <v>74</v>
      </c>
      <c r="M157" t="s">
        <v>78</v>
      </c>
      <c r="N157" t="s">
        <v>52</v>
      </c>
      <c r="O157" t="s">
        <v>79</v>
      </c>
      <c r="P157" t="s">
        <v>80</v>
      </c>
      <c r="Q157" t="s">
        <v>81</v>
      </c>
      <c r="R157" t="s">
        <v>74</v>
      </c>
      <c r="S157" t="s">
        <v>82</v>
      </c>
      <c r="T157" t="s">
        <v>74</v>
      </c>
      <c r="U157" t="s">
        <v>74</v>
      </c>
      <c r="V157" t="s">
        <v>74</v>
      </c>
      <c r="W157" t="s">
        <v>1386</v>
      </c>
      <c r="X157" t="s">
        <v>1387</v>
      </c>
      <c r="Y157" t="s">
        <v>74</v>
      </c>
      <c r="Z157" t="s">
        <v>1388</v>
      </c>
      <c r="AA157" t="s">
        <v>938</v>
      </c>
      <c r="AB157" t="s">
        <v>74</v>
      </c>
      <c r="AC157" t="s">
        <v>74</v>
      </c>
      <c r="AD157" t="s">
        <v>74</v>
      </c>
      <c r="AE157" t="s">
        <v>74</v>
      </c>
      <c r="AF157" t="s">
        <v>74</v>
      </c>
      <c r="AG157">
        <v>3</v>
      </c>
      <c r="AH157">
        <v>0</v>
      </c>
      <c r="AI157">
        <v>0</v>
      </c>
      <c r="AJ157">
        <v>0</v>
      </c>
      <c r="AK157">
        <v>0</v>
      </c>
      <c r="AL157" t="s">
        <v>109</v>
      </c>
      <c r="AM157" t="s">
        <v>110</v>
      </c>
      <c r="AN157" t="s">
        <v>111</v>
      </c>
      <c r="AO157" t="s">
        <v>91</v>
      </c>
      <c r="AP157" t="s">
        <v>74</v>
      </c>
      <c r="AQ157" t="s">
        <v>74</v>
      </c>
      <c r="AR157" t="s">
        <v>93</v>
      </c>
      <c r="AS157" t="s">
        <v>94</v>
      </c>
      <c r="AT157" t="s">
        <v>95</v>
      </c>
      <c r="AU157">
        <v>2008</v>
      </c>
      <c r="AV157">
        <v>43</v>
      </c>
      <c r="AW157">
        <v>7</v>
      </c>
      <c r="AX157" t="s">
        <v>74</v>
      </c>
      <c r="AY157" t="s">
        <v>96</v>
      </c>
      <c r="AZ157" t="s">
        <v>74</v>
      </c>
      <c r="BA157" t="s">
        <v>74</v>
      </c>
      <c r="BB157" t="s">
        <v>1389</v>
      </c>
      <c r="BC157" t="s">
        <v>1389</v>
      </c>
      <c r="BD157" t="s">
        <v>74</v>
      </c>
      <c r="BE157" t="s">
        <v>74</v>
      </c>
      <c r="BF157" t="s">
        <v>74</v>
      </c>
      <c r="BG157" t="s">
        <v>74</v>
      </c>
      <c r="BH157" t="s">
        <v>74</v>
      </c>
      <c r="BI157">
        <v>1</v>
      </c>
      <c r="BJ157" t="s">
        <v>98</v>
      </c>
      <c r="BK157" t="s">
        <v>113</v>
      </c>
      <c r="BL157" t="s">
        <v>98</v>
      </c>
      <c r="BM157" t="s">
        <v>100</v>
      </c>
      <c r="BN157" t="s">
        <v>74</v>
      </c>
      <c r="BO157" t="s">
        <v>74</v>
      </c>
      <c r="BP157" t="s">
        <v>74</v>
      </c>
      <c r="BQ157" t="s">
        <v>74</v>
      </c>
      <c r="BR157" t="s">
        <v>101</v>
      </c>
      <c r="BS157" t="s">
        <v>1390</v>
      </c>
      <c r="BT157" t="str">
        <f>HYPERLINK("https%3A%2F%2Fwww.webofscience.com%2Fwos%2Fwoscc%2Ffull-record%2FWOS:000257683100173","View Full Record in Web of Science")</f>
        <v>View Full Record in Web of Science</v>
      </c>
    </row>
    <row r="158" spans="1:72" x14ac:dyDescent="0.15">
      <c r="A158" t="s">
        <v>72</v>
      </c>
      <c r="B158" t="s">
        <v>1391</v>
      </c>
      <c r="C158" t="s">
        <v>74</v>
      </c>
      <c r="D158" t="s">
        <v>74</v>
      </c>
      <c r="E158" t="s">
        <v>74</v>
      </c>
      <c r="F158" t="s">
        <v>1392</v>
      </c>
      <c r="G158" t="s">
        <v>74</v>
      </c>
      <c r="H158" t="s">
        <v>74</v>
      </c>
      <c r="I158" t="s">
        <v>1393</v>
      </c>
      <c r="J158" t="s">
        <v>77</v>
      </c>
      <c r="K158" t="s">
        <v>74</v>
      </c>
      <c r="L158" t="s">
        <v>74</v>
      </c>
      <c r="M158" t="s">
        <v>78</v>
      </c>
      <c r="N158" t="s">
        <v>52</v>
      </c>
      <c r="O158" t="s">
        <v>79</v>
      </c>
      <c r="P158" t="s">
        <v>80</v>
      </c>
      <c r="Q158" t="s">
        <v>81</v>
      </c>
      <c r="R158" t="s">
        <v>74</v>
      </c>
      <c r="S158" t="s">
        <v>82</v>
      </c>
      <c r="T158" t="s">
        <v>74</v>
      </c>
      <c r="U158" t="s">
        <v>74</v>
      </c>
      <c r="V158" t="s">
        <v>74</v>
      </c>
      <c r="W158" t="s">
        <v>1394</v>
      </c>
      <c r="X158" t="s">
        <v>1131</v>
      </c>
      <c r="Y158" t="s">
        <v>74</v>
      </c>
      <c r="Z158" t="s">
        <v>1395</v>
      </c>
      <c r="AA158" t="s">
        <v>1133</v>
      </c>
      <c r="AB158" t="s">
        <v>74</v>
      </c>
      <c r="AC158" t="s">
        <v>74</v>
      </c>
      <c r="AD158" t="s">
        <v>74</v>
      </c>
      <c r="AE158" t="s">
        <v>74</v>
      </c>
      <c r="AF158" t="s">
        <v>74</v>
      </c>
      <c r="AG158">
        <v>5</v>
      </c>
      <c r="AH158">
        <v>0</v>
      </c>
      <c r="AI158">
        <v>0</v>
      </c>
      <c r="AJ158">
        <v>0</v>
      </c>
      <c r="AK158">
        <v>1</v>
      </c>
      <c r="AL158" t="s">
        <v>109</v>
      </c>
      <c r="AM158" t="s">
        <v>110</v>
      </c>
      <c r="AN158" t="s">
        <v>111</v>
      </c>
      <c r="AO158" t="s">
        <v>91</v>
      </c>
      <c r="AP158" t="s">
        <v>74</v>
      </c>
      <c r="AQ158" t="s">
        <v>74</v>
      </c>
      <c r="AR158" t="s">
        <v>93</v>
      </c>
      <c r="AS158" t="s">
        <v>94</v>
      </c>
      <c r="AT158" t="s">
        <v>95</v>
      </c>
      <c r="AU158">
        <v>2008</v>
      </c>
      <c r="AV158">
        <v>43</v>
      </c>
      <c r="AW158">
        <v>7</v>
      </c>
      <c r="AX158" t="s">
        <v>74</v>
      </c>
      <c r="AY158" t="s">
        <v>96</v>
      </c>
      <c r="AZ158" t="s">
        <v>74</v>
      </c>
      <c r="BA158" t="s">
        <v>74</v>
      </c>
      <c r="BB158" t="s">
        <v>1375</v>
      </c>
      <c r="BC158" t="s">
        <v>1375</v>
      </c>
      <c r="BD158" t="s">
        <v>74</v>
      </c>
      <c r="BE158" t="s">
        <v>74</v>
      </c>
      <c r="BF158" t="s">
        <v>74</v>
      </c>
      <c r="BG158" t="s">
        <v>74</v>
      </c>
      <c r="BH158" t="s">
        <v>74</v>
      </c>
      <c r="BI158">
        <v>1</v>
      </c>
      <c r="BJ158" t="s">
        <v>98</v>
      </c>
      <c r="BK158" t="s">
        <v>113</v>
      </c>
      <c r="BL158" t="s">
        <v>98</v>
      </c>
      <c r="BM158" t="s">
        <v>100</v>
      </c>
      <c r="BN158" t="s">
        <v>74</v>
      </c>
      <c r="BO158" t="s">
        <v>74</v>
      </c>
      <c r="BP158" t="s">
        <v>74</v>
      </c>
      <c r="BQ158" t="s">
        <v>74</v>
      </c>
      <c r="BR158" t="s">
        <v>101</v>
      </c>
      <c r="BS158" t="s">
        <v>1396</v>
      </c>
      <c r="BT158" t="str">
        <f>HYPERLINK("https%3A%2F%2Fwww.webofscience.com%2Fwos%2Fwoscc%2Ffull-record%2FWOS:000257683100349","View Full Record in Web of Science")</f>
        <v>View Full Record in Web of Science</v>
      </c>
    </row>
    <row r="159" spans="1:72" x14ac:dyDescent="0.15">
      <c r="A159" t="s">
        <v>72</v>
      </c>
      <c r="B159" t="s">
        <v>1397</v>
      </c>
      <c r="C159" t="s">
        <v>74</v>
      </c>
      <c r="D159" t="s">
        <v>74</v>
      </c>
      <c r="E159" t="s">
        <v>74</v>
      </c>
      <c r="F159" t="s">
        <v>1398</v>
      </c>
      <c r="G159" t="s">
        <v>74</v>
      </c>
      <c r="H159" t="s">
        <v>74</v>
      </c>
      <c r="I159" t="s">
        <v>1399</v>
      </c>
      <c r="J159" t="s">
        <v>77</v>
      </c>
      <c r="K159" t="s">
        <v>74</v>
      </c>
      <c r="L159" t="s">
        <v>74</v>
      </c>
      <c r="M159" t="s">
        <v>78</v>
      </c>
      <c r="N159" t="s">
        <v>52</v>
      </c>
      <c r="O159" t="s">
        <v>79</v>
      </c>
      <c r="P159" t="s">
        <v>80</v>
      </c>
      <c r="Q159" t="s">
        <v>81</v>
      </c>
      <c r="R159" t="s">
        <v>74</v>
      </c>
      <c r="S159" t="s">
        <v>82</v>
      </c>
      <c r="T159" t="s">
        <v>74</v>
      </c>
      <c r="U159" t="s">
        <v>1400</v>
      </c>
      <c r="V159" t="s">
        <v>74</v>
      </c>
      <c r="W159" t="s">
        <v>1401</v>
      </c>
      <c r="X159" t="s">
        <v>1050</v>
      </c>
      <c r="Y159" t="s">
        <v>74</v>
      </c>
      <c r="Z159" t="s">
        <v>1395</v>
      </c>
      <c r="AA159" t="s">
        <v>1402</v>
      </c>
      <c r="AB159" t="s">
        <v>74</v>
      </c>
      <c r="AC159" t="s">
        <v>74</v>
      </c>
      <c r="AD159" t="s">
        <v>74</v>
      </c>
      <c r="AE159" t="s">
        <v>74</v>
      </c>
      <c r="AF159" t="s">
        <v>74</v>
      </c>
      <c r="AG159">
        <v>7</v>
      </c>
      <c r="AH159">
        <v>4</v>
      </c>
      <c r="AI159">
        <v>5</v>
      </c>
      <c r="AJ159">
        <v>0</v>
      </c>
      <c r="AK159">
        <v>0</v>
      </c>
      <c r="AL159" t="s">
        <v>109</v>
      </c>
      <c r="AM159" t="s">
        <v>110</v>
      </c>
      <c r="AN159" t="s">
        <v>111</v>
      </c>
      <c r="AO159" t="s">
        <v>91</v>
      </c>
      <c r="AP159" t="s">
        <v>74</v>
      </c>
      <c r="AQ159" t="s">
        <v>74</v>
      </c>
      <c r="AR159" t="s">
        <v>93</v>
      </c>
      <c r="AS159" t="s">
        <v>94</v>
      </c>
      <c r="AT159" t="s">
        <v>95</v>
      </c>
      <c r="AU159">
        <v>2008</v>
      </c>
      <c r="AV159">
        <v>43</v>
      </c>
      <c r="AW159">
        <v>7</v>
      </c>
      <c r="AX159" t="s">
        <v>74</v>
      </c>
      <c r="AY159" t="s">
        <v>96</v>
      </c>
      <c r="AZ159" t="s">
        <v>74</v>
      </c>
      <c r="BA159" t="s">
        <v>74</v>
      </c>
      <c r="BB159" t="s">
        <v>1389</v>
      </c>
      <c r="BC159" t="s">
        <v>1389</v>
      </c>
      <c r="BD159" t="s">
        <v>74</v>
      </c>
      <c r="BE159" t="s">
        <v>74</v>
      </c>
      <c r="BF159" t="s">
        <v>74</v>
      </c>
      <c r="BG159" t="s">
        <v>74</v>
      </c>
      <c r="BH159" t="s">
        <v>74</v>
      </c>
      <c r="BI159">
        <v>1</v>
      </c>
      <c r="BJ159" t="s">
        <v>98</v>
      </c>
      <c r="BK159" t="s">
        <v>113</v>
      </c>
      <c r="BL159" t="s">
        <v>98</v>
      </c>
      <c r="BM159" t="s">
        <v>100</v>
      </c>
      <c r="BN159" t="s">
        <v>74</v>
      </c>
      <c r="BO159" t="s">
        <v>74</v>
      </c>
      <c r="BP159" t="s">
        <v>74</v>
      </c>
      <c r="BQ159" t="s">
        <v>74</v>
      </c>
      <c r="BR159" t="s">
        <v>101</v>
      </c>
      <c r="BS159" t="s">
        <v>1403</v>
      </c>
      <c r="BT159" t="str">
        <f>HYPERLINK("https%3A%2F%2Fwww.webofscience.com%2Fwos%2Fwoscc%2Ffull-record%2FWOS:000257683100174","View Full Record in Web of Science")</f>
        <v>View Full Record in Web of Science</v>
      </c>
    </row>
    <row r="160" spans="1:72" x14ac:dyDescent="0.15">
      <c r="A160" t="s">
        <v>72</v>
      </c>
      <c r="B160" t="s">
        <v>1404</v>
      </c>
      <c r="C160" t="s">
        <v>74</v>
      </c>
      <c r="D160" t="s">
        <v>74</v>
      </c>
      <c r="E160" t="s">
        <v>74</v>
      </c>
      <c r="F160" t="s">
        <v>1405</v>
      </c>
      <c r="G160" t="s">
        <v>74</v>
      </c>
      <c r="H160" t="s">
        <v>74</v>
      </c>
      <c r="I160" t="s">
        <v>1406</v>
      </c>
      <c r="J160" t="s">
        <v>77</v>
      </c>
      <c r="K160" t="s">
        <v>74</v>
      </c>
      <c r="L160" t="s">
        <v>74</v>
      </c>
      <c r="M160" t="s">
        <v>78</v>
      </c>
      <c r="N160" t="s">
        <v>52</v>
      </c>
      <c r="O160" t="s">
        <v>79</v>
      </c>
      <c r="P160" t="s">
        <v>80</v>
      </c>
      <c r="Q160" t="s">
        <v>81</v>
      </c>
      <c r="R160" t="s">
        <v>74</v>
      </c>
      <c r="S160" t="s">
        <v>82</v>
      </c>
      <c r="T160" t="s">
        <v>74</v>
      </c>
      <c r="U160" t="s">
        <v>1407</v>
      </c>
      <c r="V160" t="s">
        <v>74</v>
      </c>
      <c r="W160" t="s">
        <v>1408</v>
      </c>
      <c r="X160" t="s">
        <v>1409</v>
      </c>
      <c r="Y160" t="s">
        <v>74</v>
      </c>
      <c r="Z160" t="s">
        <v>1410</v>
      </c>
      <c r="AA160" t="s">
        <v>74</v>
      </c>
      <c r="AB160" t="s">
        <v>74</v>
      </c>
      <c r="AC160" t="s">
        <v>74</v>
      </c>
      <c r="AD160" t="s">
        <v>74</v>
      </c>
      <c r="AE160" t="s">
        <v>74</v>
      </c>
      <c r="AF160" t="s">
        <v>74</v>
      </c>
      <c r="AG160">
        <v>7</v>
      </c>
      <c r="AH160">
        <v>1</v>
      </c>
      <c r="AI160">
        <v>1</v>
      </c>
      <c r="AJ160">
        <v>0</v>
      </c>
      <c r="AK160">
        <v>3</v>
      </c>
      <c r="AL160" t="s">
        <v>109</v>
      </c>
      <c r="AM160" t="s">
        <v>110</v>
      </c>
      <c r="AN160" t="s">
        <v>111</v>
      </c>
      <c r="AO160" t="s">
        <v>91</v>
      </c>
      <c r="AP160" t="s">
        <v>74</v>
      </c>
      <c r="AQ160" t="s">
        <v>74</v>
      </c>
      <c r="AR160" t="s">
        <v>93</v>
      </c>
      <c r="AS160" t="s">
        <v>94</v>
      </c>
      <c r="AT160" t="s">
        <v>95</v>
      </c>
      <c r="AU160">
        <v>2008</v>
      </c>
      <c r="AV160">
        <v>43</v>
      </c>
      <c r="AW160">
        <v>7</v>
      </c>
      <c r="AX160" t="s">
        <v>74</v>
      </c>
      <c r="AY160" t="s">
        <v>96</v>
      </c>
      <c r="AZ160" t="s">
        <v>74</v>
      </c>
      <c r="BA160" t="s">
        <v>74</v>
      </c>
      <c r="BB160" t="s">
        <v>1411</v>
      </c>
      <c r="BC160" t="s">
        <v>1411</v>
      </c>
      <c r="BD160" t="s">
        <v>74</v>
      </c>
      <c r="BE160" t="s">
        <v>74</v>
      </c>
      <c r="BF160" t="s">
        <v>74</v>
      </c>
      <c r="BG160" t="s">
        <v>74</v>
      </c>
      <c r="BH160" t="s">
        <v>74</v>
      </c>
      <c r="BI160">
        <v>1</v>
      </c>
      <c r="BJ160" t="s">
        <v>98</v>
      </c>
      <c r="BK160" t="s">
        <v>113</v>
      </c>
      <c r="BL160" t="s">
        <v>98</v>
      </c>
      <c r="BM160" t="s">
        <v>100</v>
      </c>
      <c r="BN160" t="s">
        <v>74</v>
      </c>
      <c r="BO160" t="s">
        <v>74</v>
      </c>
      <c r="BP160" t="s">
        <v>74</v>
      </c>
      <c r="BQ160" t="s">
        <v>74</v>
      </c>
      <c r="BR160" t="s">
        <v>101</v>
      </c>
      <c r="BS160" t="s">
        <v>1412</v>
      </c>
      <c r="BT160" t="str">
        <f>HYPERLINK("https%3A%2F%2Fwww.webofscience.com%2Fwos%2Fwoscc%2Ffull-record%2FWOS:000257683100175","View Full Record in Web of Science")</f>
        <v>View Full Record in Web of Science</v>
      </c>
    </row>
    <row r="161" spans="1:72" x14ac:dyDescent="0.15">
      <c r="A161" t="s">
        <v>72</v>
      </c>
      <c r="B161" t="s">
        <v>1413</v>
      </c>
      <c r="C161" t="s">
        <v>74</v>
      </c>
      <c r="D161" t="s">
        <v>74</v>
      </c>
      <c r="E161" t="s">
        <v>74</v>
      </c>
      <c r="F161" t="s">
        <v>1414</v>
      </c>
      <c r="G161" t="s">
        <v>74</v>
      </c>
      <c r="H161" t="s">
        <v>74</v>
      </c>
      <c r="I161" t="s">
        <v>1415</v>
      </c>
      <c r="J161" t="s">
        <v>77</v>
      </c>
      <c r="K161" t="s">
        <v>74</v>
      </c>
      <c r="L161" t="s">
        <v>74</v>
      </c>
      <c r="M161" t="s">
        <v>78</v>
      </c>
      <c r="N161" t="s">
        <v>52</v>
      </c>
      <c r="O161" t="s">
        <v>79</v>
      </c>
      <c r="P161" t="s">
        <v>80</v>
      </c>
      <c r="Q161" t="s">
        <v>81</v>
      </c>
      <c r="R161" t="s">
        <v>74</v>
      </c>
      <c r="S161" t="s">
        <v>82</v>
      </c>
      <c r="T161" t="s">
        <v>74</v>
      </c>
      <c r="U161" t="s">
        <v>1416</v>
      </c>
      <c r="V161" t="s">
        <v>74</v>
      </c>
      <c r="W161" t="s">
        <v>1417</v>
      </c>
      <c r="X161" t="s">
        <v>1418</v>
      </c>
      <c r="Y161" t="s">
        <v>74</v>
      </c>
      <c r="Z161" t="s">
        <v>1419</v>
      </c>
      <c r="AA161" t="s">
        <v>74</v>
      </c>
      <c r="AB161" t="s">
        <v>1420</v>
      </c>
      <c r="AC161" t="s">
        <v>74</v>
      </c>
      <c r="AD161" t="s">
        <v>74</v>
      </c>
      <c r="AE161" t="s">
        <v>74</v>
      </c>
      <c r="AF161" t="s">
        <v>74</v>
      </c>
      <c r="AG161">
        <v>7</v>
      </c>
      <c r="AH161">
        <v>1</v>
      </c>
      <c r="AI161">
        <v>1</v>
      </c>
      <c r="AJ161">
        <v>0</v>
      </c>
      <c r="AK161">
        <v>0</v>
      </c>
      <c r="AL161" t="s">
        <v>88</v>
      </c>
      <c r="AM161" t="s">
        <v>89</v>
      </c>
      <c r="AN161" t="s">
        <v>90</v>
      </c>
      <c r="AO161" t="s">
        <v>91</v>
      </c>
      <c r="AP161" t="s">
        <v>92</v>
      </c>
      <c r="AQ161" t="s">
        <v>74</v>
      </c>
      <c r="AR161" t="s">
        <v>93</v>
      </c>
      <c r="AS161" t="s">
        <v>94</v>
      </c>
      <c r="AT161" t="s">
        <v>95</v>
      </c>
      <c r="AU161">
        <v>2008</v>
      </c>
      <c r="AV161">
        <v>43</v>
      </c>
      <c r="AW161">
        <v>7</v>
      </c>
      <c r="AX161" t="s">
        <v>74</v>
      </c>
      <c r="AY161" t="s">
        <v>96</v>
      </c>
      <c r="AZ161" t="s">
        <v>74</v>
      </c>
      <c r="BA161" t="s">
        <v>74</v>
      </c>
      <c r="BB161" t="s">
        <v>1411</v>
      </c>
      <c r="BC161" t="s">
        <v>1411</v>
      </c>
      <c r="BD161" t="s">
        <v>74</v>
      </c>
      <c r="BE161" t="s">
        <v>74</v>
      </c>
      <c r="BF161" t="s">
        <v>74</v>
      </c>
      <c r="BG161" t="s">
        <v>74</v>
      </c>
      <c r="BH161" t="s">
        <v>74</v>
      </c>
      <c r="BI161">
        <v>1</v>
      </c>
      <c r="BJ161" t="s">
        <v>98</v>
      </c>
      <c r="BK161" t="s">
        <v>99</v>
      </c>
      <c r="BL161" t="s">
        <v>98</v>
      </c>
      <c r="BM161" t="s">
        <v>100</v>
      </c>
      <c r="BN161" t="s">
        <v>74</v>
      </c>
      <c r="BO161" t="s">
        <v>74</v>
      </c>
      <c r="BP161" t="s">
        <v>74</v>
      </c>
      <c r="BQ161" t="s">
        <v>74</v>
      </c>
      <c r="BR161" t="s">
        <v>101</v>
      </c>
      <c r="BS161" t="s">
        <v>1421</v>
      </c>
      <c r="BT161" t="str">
        <f>HYPERLINK("https%3A%2F%2Fwww.webofscience.com%2Fwos%2Fwoscc%2Ffull-record%2FWOS:000257683100176","View Full Record in Web of Science")</f>
        <v>View Full Record in Web of Science</v>
      </c>
    </row>
    <row r="162" spans="1:72" x14ac:dyDescent="0.15">
      <c r="A162" t="s">
        <v>72</v>
      </c>
      <c r="B162" t="s">
        <v>1422</v>
      </c>
      <c r="C162" t="s">
        <v>74</v>
      </c>
      <c r="D162" t="s">
        <v>74</v>
      </c>
      <c r="E162" t="s">
        <v>74</v>
      </c>
      <c r="F162" t="s">
        <v>1423</v>
      </c>
      <c r="G162" t="s">
        <v>74</v>
      </c>
      <c r="H162" t="s">
        <v>74</v>
      </c>
      <c r="I162" t="s">
        <v>1424</v>
      </c>
      <c r="J162" t="s">
        <v>77</v>
      </c>
      <c r="K162" t="s">
        <v>74</v>
      </c>
      <c r="L162" t="s">
        <v>74</v>
      </c>
      <c r="M162" t="s">
        <v>78</v>
      </c>
      <c r="N162" t="s">
        <v>52</v>
      </c>
      <c r="O162" t="s">
        <v>79</v>
      </c>
      <c r="P162" t="s">
        <v>80</v>
      </c>
      <c r="Q162" t="s">
        <v>81</v>
      </c>
      <c r="R162" t="s">
        <v>74</v>
      </c>
      <c r="S162" t="s">
        <v>82</v>
      </c>
      <c r="T162" t="s">
        <v>74</v>
      </c>
      <c r="U162" t="s">
        <v>74</v>
      </c>
      <c r="V162" t="s">
        <v>74</v>
      </c>
      <c r="W162" t="s">
        <v>1425</v>
      </c>
      <c r="X162" t="s">
        <v>403</v>
      </c>
      <c r="Y162" t="s">
        <v>74</v>
      </c>
      <c r="Z162" t="s">
        <v>1426</v>
      </c>
      <c r="AA162" t="s">
        <v>1427</v>
      </c>
      <c r="AB162" t="s">
        <v>74</v>
      </c>
      <c r="AC162" t="s">
        <v>74</v>
      </c>
      <c r="AD162" t="s">
        <v>74</v>
      </c>
      <c r="AE162" t="s">
        <v>74</v>
      </c>
      <c r="AF162" t="s">
        <v>74</v>
      </c>
      <c r="AG162">
        <v>6</v>
      </c>
      <c r="AH162">
        <v>0</v>
      </c>
      <c r="AI162">
        <v>0</v>
      </c>
      <c r="AJ162">
        <v>0</v>
      </c>
      <c r="AK162">
        <v>1</v>
      </c>
      <c r="AL162" t="s">
        <v>109</v>
      </c>
      <c r="AM162" t="s">
        <v>110</v>
      </c>
      <c r="AN162" t="s">
        <v>111</v>
      </c>
      <c r="AO162" t="s">
        <v>91</v>
      </c>
      <c r="AP162" t="s">
        <v>74</v>
      </c>
      <c r="AQ162" t="s">
        <v>74</v>
      </c>
      <c r="AR162" t="s">
        <v>93</v>
      </c>
      <c r="AS162" t="s">
        <v>94</v>
      </c>
      <c r="AT162" t="s">
        <v>95</v>
      </c>
      <c r="AU162">
        <v>2008</v>
      </c>
      <c r="AV162">
        <v>43</v>
      </c>
      <c r="AW162">
        <v>7</v>
      </c>
      <c r="AX162" t="s">
        <v>74</v>
      </c>
      <c r="AY162" t="s">
        <v>96</v>
      </c>
      <c r="AZ162" t="s">
        <v>74</v>
      </c>
      <c r="BA162" t="s">
        <v>74</v>
      </c>
      <c r="BB162" t="s">
        <v>1428</v>
      </c>
      <c r="BC162" t="s">
        <v>1428</v>
      </c>
      <c r="BD162" t="s">
        <v>74</v>
      </c>
      <c r="BE162" t="s">
        <v>74</v>
      </c>
      <c r="BF162" t="s">
        <v>74</v>
      </c>
      <c r="BG162" t="s">
        <v>74</v>
      </c>
      <c r="BH162" t="s">
        <v>74</v>
      </c>
      <c r="BI162">
        <v>1</v>
      </c>
      <c r="BJ162" t="s">
        <v>98</v>
      </c>
      <c r="BK162" t="s">
        <v>113</v>
      </c>
      <c r="BL162" t="s">
        <v>98</v>
      </c>
      <c r="BM162" t="s">
        <v>100</v>
      </c>
      <c r="BN162" t="s">
        <v>74</v>
      </c>
      <c r="BO162" t="s">
        <v>74</v>
      </c>
      <c r="BP162" t="s">
        <v>74</v>
      </c>
      <c r="BQ162" t="s">
        <v>74</v>
      </c>
      <c r="BR162" t="s">
        <v>101</v>
      </c>
      <c r="BS162" t="s">
        <v>1429</v>
      </c>
      <c r="BT162" t="str">
        <f>HYPERLINK("https%3A%2F%2Fwww.webofscience.com%2Fwos%2Fwoscc%2Ffull-record%2FWOS:000257683100350","View Full Record in Web of Science")</f>
        <v>View Full Record in Web of Science</v>
      </c>
    </row>
    <row r="163" spans="1:72" x14ac:dyDescent="0.15">
      <c r="A163" t="s">
        <v>72</v>
      </c>
      <c r="B163" t="s">
        <v>1430</v>
      </c>
      <c r="C163" t="s">
        <v>74</v>
      </c>
      <c r="D163" t="s">
        <v>74</v>
      </c>
      <c r="E163" t="s">
        <v>74</v>
      </c>
      <c r="F163" t="s">
        <v>1431</v>
      </c>
      <c r="G163" t="s">
        <v>74</v>
      </c>
      <c r="H163" t="s">
        <v>74</v>
      </c>
      <c r="I163" t="s">
        <v>1432</v>
      </c>
      <c r="J163" t="s">
        <v>77</v>
      </c>
      <c r="K163" t="s">
        <v>74</v>
      </c>
      <c r="L163" t="s">
        <v>74</v>
      </c>
      <c r="M163" t="s">
        <v>78</v>
      </c>
      <c r="N163" t="s">
        <v>52</v>
      </c>
      <c r="O163" t="s">
        <v>79</v>
      </c>
      <c r="P163" t="s">
        <v>80</v>
      </c>
      <c r="Q163" t="s">
        <v>81</v>
      </c>
      <c r="R163" t="s">
        <v>74</v>
      </c>
      <c r="S163" t="s">
        <v>82</v>
      </c>
      <c r="T163" t="s">
        <v>74</v>
      </c>
      <c r="U163" t="s">
        <v>74</v>
      </c>
      <c r="V163" t="s">
        <v>74</v>
      </c>
      <c r="W163" t="s">
        <v>1433</v>
      </c>
      <c r="X163" t="s">
        <v>403</v>
      </c>
      <c r="Y163" t="s">
        <v>74</v>
      </c>
      <c r="Z163" t="s">
        <v>1426</v>
      </c>
      <c r="AA163" t="s">
        <v>1427</v>
      </c>
      <c r="AB163" t="s">
        <v>74</v>
      </c>
      <c r="AC163" t="s">
        <v>74</v>
      </c>
      <c r="AD163" t="s">
        <v>74</v>
      </c>
      <c r="AE163" t="s">
        <v>74</v>
      </c>
      <c r="AF163" t="s">
        <v>74</v>
      </c>
      <c r="AG163">
        <v>4</v>
      </c>
      <c r="AH163">
        <v>0</v>
      </c>
      <c r="AI163">
        <v>0</v>
      </c>
      <c r="AJ163">
        <v>0</v>
      </c>
      <c r="AK163">
        <v>1</v>
      </c>
      <c r="AL163" t="s">
        <v>149</v>
      </c>
      <c r="AM163" t="s">
        <v>150</v>
      </c>
      <c r="AN163" t="s">
        <v>151</v>
      </c>
      <c r="AO163" t="s">
        <v>91</v>
      </c>
      <c r="AP163" t="s">
        <v>74</v>
      </c>
      <c r="AQ163" t="s">
        <v>74</v>
      </c>
      <c r="AR163" t="s">
        <v>93</v>
      </c>
      <c r="AS163" t="s">
        <v>94</v>
      </c>
      <c r="AT163" t="s">
        <v>95</v>
      </c>
      <c r="AU163">
        <v>2008</v>
      </c>
      <c r="AV163">
        <v>43</v>
      </c>
      <c r="AW163">
        <v>7</v>
      </c>
      <c r="AX163" t="s">
        <v>74</v>
      </c>
      <c r="AY163" t="s">
        <v>96</v>
      </c>
      <c r="AZ163" t="s">
        <v>74</v>
      </c>
      <c r="BA163" t="s">
        <v>74</v>
      </c>
      <c r="BB163" t="s">
        <v>1434</v>
      </c>
      <c r="BC163" t="s">
        <v>1434</v>
      </c>
      <c r="BD163" t="s">
        <v>74</v>
      </c>
      <c r="BE163" t="s">
        <v>74</v>
      </c>
      <c r="BF163" t="s">
        <v>74</v>
      </c>
      <c r="BG163" t="s">
        <v>74</v>
      </c>
      <c r="BH163" t="s">
        <v>74</v>
      </c>
      <c r="BI163">
        <v>1</v>
      </c>
      <c r="BJ163" t="s">
        <v>98</v>
      </c>
      <c r="BK163" t="s">
        <v>99</v>
      </c>
      <c r="BL163" t="s">
        <v>98</v>
      </c>
      <c r="BM163" t="s">
        <v>100</v>
      </c>
      <c r="BN163" t="s">
        <v>74</v>
      </c>
      <c r="BO163" t="s">
        <v>74</v>
      </c>
      <c r="BP163" t="s">
        <v>74</v>
      </c>
      <c r="BQ163" t="s">
        <v>74</v>
      </c>
      <c r="BR163" t="s">
        <v>101</v>
      </c>
      <c r="BS163" t="s">
        <v>1435</v>
      </c>
      <c r="BT163" t="str">
        <f>HYPERLINK("https%3A%2F%2Fwww.webofscience.com%2Fwos%2Fwoscc%2Ffull-record%2FWOS:000257683100177","View Full Record in Web of Science")</f>
        <v>View Full Record in Web of Science</v>
      </c>
    </row>
    <row r="164" spans="1:72" x14ac:dyDescent="0.15">
      <c r="A164" t="s">
        <v>72</v>
      </c>
      <c r="B164" t="s">
        <v>1436</v>
      </c>
      <c r="C164" t="s">
        <v>74</v>
      </c>
      <c r="D164" t="s">
        <v>74</v>
      </c>
      <c r="E164" t="s">
        <v>74</v>
      </c>
      <c r="F164" t="s">
        <v>1437</v>
      </c>
      <c r="G164" t="s">
        <v>74</v>
      </c>
      <c r="H164" t="s">
        <v>74</v>
      </c>
      <c r="I164" t="s">
        <v>1438</v>
      </c>
      <c r="J164" t="s">
        <v>77</v>
      </c>
      <c r="K164" t="s">
        <v>74</v>
      </c>
      <c r="L164" t="s">
        <v>74</v>
      </c>
      <c r="M164" t="s">
        <v>78</v>
      </c>
      <c r="N164" t="s">
        <v>52</v>
      </c>
      <c r="O164" t="s">
        <v>79</v>
      </c>
      <c r="P164" t="s">
        <v>80</v>
      </c>
      <c r="Q164" t="s">
        <v>81</v>
      </c>
      <c r="R164" t="s">
        <v>74</v>
      </c>
      <c r="S164" t="s">
        <v>82</v>
      </c>
      <c r="T164" t="s">
        <v>74</v>
      </c>
      <c r="U164" t="s">
        <v>1439</v>
      </c>
      <c r="V164" t="s">
        <v>74</v>
      </c>
      <c r="W164" t="s">
        <v>1440</v>
      </c>
      <c r="X164" t="s">
        <v>1441</v>
      </c>
      <c r="Y164" t="s">
        <v>74</v>
      </c>
      <c r="Z164" t="s">
        <v>1442</v>
      </c>
      <c r="AA164" t="s">
        <v>1443</v>
      </c>
      <c r="AB164" t="s">
        <v>74</v>
      </c>
      <c r="AC164" t="s">
        <v>74</v>
      </c>
      <c r="AD164" t="s">
        <v>74</v>
      </c>
      <c r="AE164" t="s">
        <v>74</v>
      </c>
      <c r="AF164" t="s">
        <v>74</v>
      </c>
      <c r="AG164">
        <v>7</v>
      </c>
      <c r="AH164">
        <v>0</v>
      </c>
      <c r="AI164">
        <v>0</v>
      </c>
      <c r="AJ164">
        <v>0</v>
      </c>
      <c r="AK164">
        <v>0</v>
      </c>
      <c r="AL164" t="s">
        <v>109</v>
      </c>
      <c r="AM164" t="s">
        <v>110</v>
      </c>
      <c r="AN164" t="s">
        <v>111</v>
      </c>
      <c r="AO164" t="s">
        <v>91</v>
      </c>
      <c r="AP164" t="s">
        <v>74</v>
      </c>
      <c r="AQ164" t="s">
        <v>74</v>
      </c>
      <c r="AR164" t="s">
        <v>93</v>
      </c>
      <c r="AS164" t="s">
        <v>94</v>
      </c>
      <c r="AT164" t="s">
        <v>95</v>
      </c>
      <c r="AU164">
        <v>2008</v>
      </c>
      <c r="AV164">
        <v>43</v>
      </c>
      <c r="AW164">
        <v>7</v>
      </c>
      <c r="AX164" t="s">
        <v>74</v>
      </c>
      <c r="AY164" t="s">
        <v>96</v>
      </c>
      <c r="AZ164" t="s">
        <v>74</v>
      </c>
      <c r="BA164" t="s">
        <v>74</v>
      </c>
      <c r="BB164" t="s">
        <v>1434</v>
      </c>
      <c r="BC164" t="s">
        <v>1434</v>
      </c>
      <c r="BD164" t="s">
        <v>74</v>
      </c>
      <c r="BE164" t="s">
        <v>74</v>
      </c>
      <c r="BF164" t="s">
        <v>74</v>
      </c>
      <c r="BG164" t="s">
        <v>74</v>
      </c>
      <c r="BH164" t="s">
        <v>74</v>
      </c>
      <c r="BI164">
        <v>1</v>
      </c>
      <c r="BJ164" t="s">
        <v>98</v>
      </c>
      <c r="BK164" t="s">
        <v>113</v>
      </c>
      <c r="BL164" t="s">
        <v>98</v>
      </c>
      <c r="BM164" t="s">
        <v>100</v>
      </c>
      <c r="BN164" t="s">
        <v>74</v>
      </c>
      <c r="BO164" t="s">
        <v>74</v>
      </c>
      <c r="BP164" t="s">
        <v>74</v>
      </c>
      <c r="BQ164" t="s">
        <v>74</v>
      </c>
      <c r="BR164" t="s">
        <v>101</v>
      </c>
      <c r="BS164" t="s">
        <v>1444</v>
      </c>
      <c r="BT164" t="str">
        <f>HYPERLINK("https%3A%2F%2Fwww.webofscience.com%2Fwos%2Fwoscc%2Ffull-record%2FWOS:000257683100178","View Full Record in Web of Science")</f>
        <v>View Full Record in Web of Science</v>
      </c>
    </row>
    <row r="165" spans="1:72" x14ac:dyDescent="0.15">
      <c r="A165" t="s">
        <v>72</v>
      </c>
      <c r="B165" t="s">
        <v>1445</v>
      </c>
      <c r="C165" t="s">
        <v>74</v>
      </c>
      <c r="D165" t="s">
        <v>74</v>
      </c>
      <c r="E165" t="s">
        <v>74</v>
      </c>
      <c r="F165" t="s">
        <v>1446</v>
      </c>
      <c r="G165" t="s">
        <v>74</v>
      </c>
      <c r="H165" t="s">
        <v>74</v>
      </c>
      <c r="I165" t="s">
        <v>1447</v>
      </c>
      <c r="J165" t="s">
        <v>77</v>
      </c>
      <c r="K165" t="s">
        <v>74</v>
      </c>
      <c r="L165" t="s">
        <v>74</v>
      </c>
      <c r="M165" t="s">
        <v>78</v>
      </c>
      <c r="N165" t="s">
        <v>52</v>
      </c>
      <c r="O165" t="s">
        <v>79</v>
      </c>
      <c r="P165" t="s">
        <v>80</v>
      </c>
      <c r="Q165" t="s">
        <v>81</v>
      </c>
      <c r="R165" t="s">
        <v>74</v>
      </c>
      <c r="S165" t="s">
        <v>82</v>
      </c>
      <c r="T165" t="s">
        <v>74</v>
      </c>
      <c r="U165" t="s">
        <v>74</v>
      </c>
      <c r="V165" t="s">
        <v>74</v>
      </c>
      <c r="W165" t="s">
        <v>1448</v>
      </c>
      <c r="X165" t="s">
        <v>1449</v>
      </c>
      <c r="Y165" t="s">
        <v>74</v>
      </c>
      <c r="Z165" t="s">
        <v>1450</v>
      </c>
      <c r="AA165" t="s">
        <v>74</v>
      </c>
      <c r="AB165" t="s">
        <v>74</v>
      </c>
      <c r="AC165" t="s">
        <v>74</v>
      </c>
      <c r="AD165" t="s">
        <v>74</v>
      </c>
      <c r="AE165" t="s">
        <v>74</v>
      </c>
      <c r="AF165" t="s">
        <v>74</v>
      </c>
      <c r="AG165">
        <v>2</v>
      </c>
      <c r="AH165">
        <v>0</v>
      </c>
      <c r="AI165">
        <v>0</v>
      </c>
      <c r="AJ165">
        <v>0</v>
      </c>
      <c r="AK165">
        <v>0</v>
      </c>
      <c r="AL165" t="s">
        <v>149</v>
      </c>
      <c r="AM165" t="s">
        <v>150</v>
      </c>
      <c r="AN165" t="s">
        <v>151</v>
      </c>
      <c r="AO165" t="s">
        <v>91</v>
      </c>
      <c r="AP165" t="s">
        <v>74</v>
      </c>
      <c r="AQ165" t="s">
        <v>74</v>
      </c>
      <c r="AR165" t="s">
        <v>93</v>
      </c>
      <c r="AS165" t="s">
        <v>94</v>
      </c>
      <c r="AT165" t="s">
        <v>95</v>
      </c>
      <c r="AU165">
        <v>2008</v>
      </c>
      <c r="AV165">
        <v>43</v>
      </c>
      <c r="AW165">
        <v>7</v>
      </c>
      <c r="AX165" t="s">
        <v>74</v>
      </c>
      <c r="AY165" t="s">
        <v>96</v>
      </c>
      <c r="AZ165" t="s">
        <v>74</v>
      </c>
      <c r="BA165" t="s">
        <v>74</v>
      </c>
      <c r="BB165" t="s">
        <v>1451</v>
      </c>
      <c r="BC165" t="s">
        <v>1451</v>
      </c>
      <c r="BD165" t="s">
        <v>74</v>
      </c>
      <c r="BE165" t="s">
        <v>74</v>
      </c>
      <c r="BF165" t="s">
        <v>74</v>
      </c>
      <c r="BG165" t="s">
        <v>74</v>
      </c>
      <c r="BH165" t="s">
        <v>74</v>
      </c>
      <c r="BI165">
        <v>1</v>
      </c>
      <c r="BJ165" t="s">
        <v>98</v>
      </c>
      <c r="BK165" t="s">
        <v>99</v>
      </c>
      <c r="BL165" t="s">
        <v>98</v>
      </c>
      <c r="BM165" t="s">
        <v>100</v>
      </c>
      <c r="BN165" t="s">
        <v>74</v>
      </c>
      <c r="BO165" t="s">
        <v>74</v>
      </c>
      <c r="BP165" t="s">
        <v>74</v>
      </c>
      <c r="BQ165" t="s">
        <v>74</v>
      </c>
      <c r="BR165" t="s">
        <v>101</v>
      </c>
      <c r="BS165" t="s">
        <v>1452</v>
      </c>
      <c r="BT165" t="str">
        <f>HYPERLINK("https%3A%2F%2Fwww.webofscience.com%2Fwos%2Fwoscc%2Ffull-record%2FWOS:000257683100180","View Full Record in Web of Science")</f>
        <v>View Full Record in Web of Science</v>
      </c>
    </row>
    <row r="166" spans="1:72" x14ac:dyDescent="0.15">
      <c r="A166" t="s">
        <v>72</v>
      </c>
      <c r="B166" t="s">
        <v>1445</v>
      </c>
      <c r="C166" t="s">
        <v>74</v>
      </c>
      <c r="D166" t="s">
        <v>74</v>
      </c>
      <c r="E166" t="s">
        <v>74</v>
      </c>
      <c r="F166" t="s">
        <v>1446</v>
      </c>
      <c r="G166" t="s">
        <v>74</v>
      </c>
      <c r="H166" t="s">
        <v>74</v>
      </c>
      <c r="I166" t="s">
        <v>1453</v>
      </c>
      <c r="J166" t="s">
        <v>77</v>
      </c>
      <c r="K166" t="s">
        <v>74</v>
      </c>
      <c r="L166" t="s">
        <v>74</v>
      </c>
      <c r="M166" t="s">
        <v>78</v>
      </c>
      <c r="N166" t="s">
        <v>52</v>
      </c>
      <c r="O166" t="s">
        <v>79</v>
      </c>
      <c r="P166" t="s">
        <v>80</v>
      </c>
      <c r="Q166" t="s">
        <v>81</v>
      </c>
      <c r="R166" t="s">
        <v>74</v>
      </c>
      <c r="S166" t="s">
        <v>82</v>
      </c>
      <c r="T166" t="s">
        <v>74</v>
      </c>
      <c r="U166" t="s">
        <v>74</v>
      </c>
      <c r="V166" t="s">
        <v>74</v>
      </c>
      <c r="W166" t="s">
        <v>1448</v>
      </c>
      <c r="X166" t="s">
        <v>1449</v>
      </c>
      <c r="Y166" t="s">
        <v>74</v>
      </c>
      <c r="Z166" t="s">
        <v>1450</v>
      </c>
      <c r="AA166" t="s">
        <v>74</v>
      </c>
      <c r="AB166" t="s">
        <v>74</v>
      </c>
      <c r="AC166" t="s">
        <v>74</v>
      </c>
      <c r="AD166" t="s">
        <v>74</v>
      </c>
      <c r="AE166" t="s">
        <v>74</v>
      </c>
      <c r="AF166" t="s">
        <v>74</v>
      </c>
      <c r="AG166">
        <v>3</v>
      </c>
      <c r="AH166">
        <v>0</v>
      </c>
      <c r="AI166">
        <v>0</v>
      </c>
      <c r="AJ166">
        <v>0</v>
      </c>
      <c r="AK166">
        <v>0</v>
      </c>
      <c r="AL166" t="s">
        <v>149</v>
      </c>
      <c r="AM166" t="s">
        <v>150</v>
      </c>
      <c r="AN166" t="s">
        <v>151</v>
      </c>
      <c r="AO166" t="s">
        <v>91</v>
      </c>
      <c r="AP166" t="s">
        <v>74</v>
      </c>
      <c r="AQ166" t="s">
        <v>74</v>
      </c>
      <c r="AR166" t="s">
        <v>93</v>
      </c>
      <c r="AS166" t="s">
        <v>94</v>
      </c>
      <c r="AT166" t="s">
        <v>95</v>
      </c>
      <c r="AU166">
        <v>2008</v>
      </c>
      <c r="AV166">
        <v>43</v>
      </c>
      <c r="AW166">
        <v>7</v>
      </c>
      <c r="AX166" t="s">
        <v>74</v>
      </c>
      <c r="AY166" t="s">
        <v>96</v>
      </c>
      <c r="AZ166" t="s">
        <v>74</v>
      </c>
      <c r="BA166" t="s">
        <v>74</v>
      </c>
      <c r="BB166" t="s">
        <v>1451</v>
      </c>
      <c r="BC166" t="s">
        <v>1451</v>
      </c>
      <c r="BD166" t="s">
        <v>74</v>
      </c>
      <c r="BE166" t="s">
        <v>74</v>
      </c>
      <c r="BF166" t="s">
        <v>74</v>
      </c>
      <c r="BG166" t="s">
        <v>74</v>
      </c>
      <c r="BH166" t="s">
        <v>74</v>
      </c>
      <c r="BI166">
        <v>1</v>
      </c>
      <c r="BJ166" t="s">
        <v>98</v>
      </c>
      <c r="BK166" t="s">
        <v>99</v>
      </c>
      <c r="BL166" t="s">
        <v>98</v>
      </c>
      <c r="BM166" t="s">
        <v>100</v>
      </c>
      <c r="BN166" t="s">
        <v>74</v>
      </c>
      <c r="BO166" t="s">
        <v>74</v>
      </c>
      <c r="BP166" t="s">
        <v>74</v>
      </c>
      <c r="BQ166" t="s">
        <v>74</v>
      </c>
      <c r="BR166" t="s">
        <v>101</v>
      </c>
      <c r="BS166" t="s">
        <v>1454</v>
      </c>
      <c r="BT166" t="str">
        <f>HYPERLINK("https%3A%2F%2Fwww.webofscience.com%2Fwos%2Fwoscc%2Ffull-record%2FWOS:000257683100179","View Full Record in Web of Science")</f>
        <v>View Full Record in Web of Science</v>
      </c>
    </row>
    <row r="167" spans="1:72" x14ac:dyDescent="0.15">
      <c r="A167" t="s">
        <v>72</v>
      </c>
      <c r="B167" t="s">
        <v>1455</v>
      </c>
      <c r="C167" t="s">
        <v>74</v>
      </c>
      <c r="D167" t="s">
        <v>74</v>
      </c>
      <c r="E167" t="s">
        <v>74</v>
      </c>
      <c r="F167" t="s">
        <v>1456</v>
      </c>
      <c r="G167" t="s">
        <v>74</v>
      </c>
      <c r="H167" t="s">
        <v>74</v>
      </c>
      <c r="I167" t="s">
        <v>1457</v>
      </c>
      <c r="J167" t="s">
        <v>77</v>
      </c>
      <c r="K167" t="s">
        <v>74</v>
      </c>
      <c r="L167" t="s">
        <v>74</v>
      </c>
      <c r="M167" t="s">
        <v>78</v>
      </c>
      <c r="N167" t="s">
        <v>52</v>
      </c>
      <c r="O167" t="s">
        <v>79</v>
      </c>
      <c r="P167" t="s">
        <v>80</v>
      </c>
      <c r="Q167" t="s">
        <v>81</v>
      </c>
      <c r="R167" t="s">
        <v>74</v>
      </c>
      <c r="S167" t="s">
        <v>82</v>
      </c>
      <c r="T167" t="s">
        <v>74</v>
      </c>
      <c r="U167" t="s">
        <v>74</v>
      </c>
      <c r="V167" t="s">
        <v>74</v>
      </c>
      <c r="W167" t="s">
        <v>1458</v>
      </c>
      <c r="X167" t="s">
        <v>1131</v>
      </c>
      <c r="Y167" t="s">
        <v>74</v>
      </c>
      <c r="Z167" t="s">
        <v>74</v>
      </c>
      <c r="AA167" t="s">
        <v>74</v>
      </c>
      <c r="AB167" t="s">
        <v>74</v>
      </c>
      <c r="AC167" t="s">
        <v>74</v>
      </c>
      <c r="AD167" t="s">
        <v>74</v>
      </c>
      <c r="AE167" t="s">
        <v>74</v>
      </c>
      <c r="AF167" t="s">
        <v>74</v>
      </c>
      <c r="AG167">
        <v>8</v>
      </c>
      <c r="AH167">
        <v>0</v>
      </c>
      <c r="AI167">
        <v>0</v>
      </c>
      <c r="AJ167">
        <v>0</v>
      </c>
      <c r="AK167">
        <v>1</v>
      </c>
      <c r="AL167" t="s">
        <v>109</v>
      </c>
      <c r="AM167" t="s">
        <v>110</v>
      </c>
      <c r="AN167" t="s">
        <v>111</v>
      </c>
      <c r="AO167" t="s">
        <v>91</v>
      </c>
      <c r="AP167" t="s">
        <v>74</v>
      </c>
      <c r="AQ167" t="s">
        <v>74</v>
      </c>
      <c r="AR167" t="s">
        <v>93</v>
      </c>
      <c r="AS167" t="s">
        <v>94</v>
      </c>
      <c r="AT167" t="s">
        <v>95</v>
      </c>
      <c r="AU167">
        <v>2008</v>
      </c>
      <c r="AV167">
        <v>43</v>
      </c>
      <c r="AW167">
        <v>7</v>
      </c>
      <c r="AX167" t="s">
        <v>74</v>
      </c>
      <c r="AY167" t="s">
        <v>96</v>
      </c>
      <c r="AZ167" t="s">
        <v>74</v>
      </c>
      <c r="BA167" t="s">
        <v>74</v>
      </c>
      <c r="BB167" t="s">
        <v>1459</v>
      </c>
      <c r="BC167" t="s">
        <v>1459</v>
      </c>
      <c r="BD167" t="s">
        <v>74</v>
      </c>
      <c r="BE167" t="s">
        <v>74</v>
      </c>
      <c r="BF167" t="s">
        <v>74</v>
      </c>
      <c r="BG167" t="s">
        <v>74</v>
      </c>
      <c r="BH167" t="s">
        <v>74</v>
      </c>
      <c r="BI167">
        <v>1</v>
      </c>
      <c r="BJ167" t="s">
        <v>98</v>
      </c>
      <c r="BK167" t="s">
        <v>113</v>
      </c>
      <c r="BL167" t="s">
        <v>98</v>
      </c>
      <c r="BM167" t="s">
        <v>100</v>
      </c>
      <c r="BN167" t="s">
        <v>74</v>
      </c>
      <c r="BO167" t="s">
        <v>74</v>
      </c>
      <c r="BP167" t="s">
        <v>74</v>
      </c>
      <c r="BQ167" t="s">
        <v>74</v>
      </c>
      <c r="BR167" t="s">
        <v>101</v>
      </c>
      <c r="BS167" t="s">
        <v>1460</v>
      </c>
      <c r="BT167" t="str">
        <f>HYPERLINK("https%3A%2F%2Fwww.webofscience.com%2Fwos%2Fwoscc%2Ffull-record%2FWOS:000257683100181","View Full Record in Web of Science")</f>
        <v>View Full Record in Web of Science</v>
      </c>
    </row>
    <row r="168" spans="1:72" x14ac:dyDescent="0.15">
      <c r="A168" t="s">
        <v>72</v>
      </c>
      <c r="B168" t="s">
        <v>1461</v>
      </c>
      <c r="C168" t="s">
        <v>74</v>
      </c>
      <c r="D168" t="s">
        <v>74</v>
      </c>
      <c r="E168" t="s">
        <v>74</v>
      </c>
      <c r="F168" t="s">
        <v>1462</v>
      </c>
      <c r="G168" t="s">
        <v>74</v>
      </c>
      <c r="H168" t="s">
        <v>74</v>
      </c>
      <c r="I168" t="s">
        <v>1463</v>
      </c>
      <c r="J168" t="s">
        <v>77</v>
      </c>
      <c r="K168" t="s">
        <v>74</v>
      </c>
      <c r="L168" t="s">
        <v>74</v>
      </c>
      <c r="M168" t="s">
        <v>78</v>
      </c>
      <c r="N168" t="s">
        <v>52</v>
      </c>
      <c r="O168" t="s">
        <v>79</v>
      </c>
      <c r="P168" t="s">
        <v>80</v>
      </c>
      <c r="Q168" t="s">
        <v>81</v>
      </c>
      <c r="R168" t="s">
        <v>74</v>
      </c>
      <c r="S168" t="s">
        <v>82</v>
      </c>
      <c r="T168" t="s">
        <v>74</v>
      </c>
      <c r="U168" t="s">
        <v>74</v>
      </c>
      <c r="V168" t="s">
        <v>74</v>
      </c>
      <c r="W168" t="s">
        <v>1464</v>
      </c>
      <c r="X168" t="s">
        <v>1465</v>
      </c>
      <c r="Y168" t="s">
        <v>74</v>
      </c>
      <c r="Z168" t="s">
        <v>1466</v>
      </c>
      <c r="AA168" t="s">
        <v>1467</v>
      </c>
      <c r="AB168" t="s">
        <v>1116</v>
      </c>
      <c r="AC168" t="s">
        <v>74</v>
      </c>
      <c r="AD168" t="s">
        <v>74</v>
      </c>
      <c r="AE168" t="s">
        <v>74</v>
      </c>
      <c r="AF168" t="s">
        <v>74</v>
      </c>
      <c r="AG168">
        <v>4</v>
      </c>
      <c r="AH168">
        <v>0</v>
      </c>
      <c r="AI168">
        <v>0</v>
      </c>
      <c r="AJ168">
        <v>0</v>
      </c>
      <c r="AK168">
        <v>1</v>
      </c>
      <c r="AL168" t="s">
        <v>109</v>
      </c>
      <c r="AM168" t="s">
        <v>110</v>
      </c>
      <c r="AN168" t="s">
        <v>111</v>
      </c>
      <c r="AO168" t="s">
        <v>91</v>
      </c>
      <c r="AP168" t="s">
        <v>74</v>
      </c>
      <c r="AQ168" t="s">
        <v>74</v>
      </c>
      <c r="AR168" t="s">
        <v>93</v>
      </c>
      <c r="AS168" t="s">
        <v>94</v>
      </c>
      <c r="AT168" t="s">
        <v>95</v>
      </c>
      <c r="AU168">
        <v>2008</v>
      </c>
      <c r="AV168">
        <v>43</v>
      </c>
      <c r="AW168">
        <v>7</v>
      </c>
      <c r="AX168" t="s">
        <v>74</v>
      </c>
      <c r="AY168" t="s">
        <v>96</v>
      </c>
      <c r="AZ168" t="s">
        <v>74</v>
      </c>
      <c r="BA168" t="s">
        <v>74</v>
      </c>
      <c r="BB168" t="s">
        <v>1459</v>
      </c>
      <c r="BC168" t="s">
        <v>1459</v>
      </c>
      <c r="BD168" t="s">
        <v>74</v>
      </c>
      <c r="BE168" t="s">
        <v>74</v>
      </c>
      <c r="BF168" t="s">
        <v>74</v>
      </c>
      <c r="BG168" t="s">
        <v>74</v>
      </c>
      <c r="BH168" t="s">
        <v>74</v>
      </c>
      <c r="BI168">
        <v>1</v>
      </c>
      <c r="BJ168" t="s">
        <v>98</v>
      </c>
      <c r="BK168" t="s">
        <v>113</v>
      </c>
      <c r="BL168" t="s">
        <v>98</v>
      </c>
      <c r="BM168" t="s">
        <v>100</v>
      </c>
      <c r="BN168" t="s">
        <v>74</v>
      </c>
      <c r="BO168" t="s">
        <v>74</v>
      </c>
      <c r="BP168" t="s">
        <v>74</v>
      </c>
      <c r="BQ168" t="s">
        <v>74</v>
      </c>
      <c r="BR168" t="s">
        <v>101</v>
      </c>
      <c r="BS168" t="s">
        <v>1468</v>
      </c>
      <c r="BT168" t="str">
        <f>HYPERLINK("https%3A%2F%2Fwww.webofscience.com%2Fwos%2Fwoscc%2Ffull-record%2FWOS:000257683100182","View Full Record in Web of Science")</f>
        <v>View Full Record in Web of Science</v>
      </c>
    </row>
    <row r="169" spans="1:72" x14ac:dyDescent="0.15">
      <c r="A169" t="s">
        <v>72</v>
      </c>
      <c r="B169" t="s">
        <v>1469</v>
      </c>
      <c r="C169" t="s">
        <v>74</v>
      </c>
      <c r="D169" t="s">
        <v>74</v>
      </c>
      <c r="E169" t="s">
        <v>74</v>
      </c>
      <c r="F169" t="s">
        <v>1470</v>
      </c>
      <c r="G169" t="s">
        <v>74</v>
      </c>
      <c r="H169" t="s">
        <v>74</v>
      </c>
      <c r="I169" t="s">
        <v>1471</v>
      </c>
      <c r="J169" t="s">
        <v>77</v>
      </c>
      <c r="K169" t="s">
        <v>74</v>
      </c>
      <c r="L169" t="s">
        <v>74</v>
      </c>
      <c r="M169" t="s">
        <v>78</v>
      </c>
      <c r="N169" t="s">
        <v>52</v>
      </c>
      <c r="O169" t="s">
        <v>79</v>
      </c>
      <c r="P169" t="s">
        <v>80</v>
      </c>
      <c r="Q169" t="s">
        <v>81</v>
      </c>
      <c r="R169" t="s">
        <v>74</v>
      </c>
      <c r="S169" t="s">
        <v>82</v>
      </c>
      <c r="T169" t="s">
        <v>74</v>
      </c>
      <c r="U169" t="s">
        <v>74</v>
      </c>
      <c r="V169" t="s">
        <v>74</v>
      </c>
      <c r="W169" t="s">
        <v>1472</v>
      </c>
      <c r="X169" t="s">
        <v>1473</v>
      </c>
      <c r="Y169" t="s">
        <v>74</v>
      </c>
      <c r="Z169" t="s">
        <v>1474</v>
      </c>
      <c r="AA169" t="s">
        <v>1475</v>
      </c>
      <c r="AB169" t="s">
        <v>74</v>
      </c>
      <c r="AC169" t="s">
        <v>74</v>
      </c>
      <c r="AD169" t="s">
        <v>74</v>
      </c>
      <c r="AE169" t="s">
        <v>74</v>
      </c>
      <c r="AF169" t="s">
        <v>74</v>
      </c>
      <c r="AG169">
        <v>6</v>
      </c>
      <c r="AH169">
        <v>0</v>
      </c>
      <c r="AI169">
        <v>0</v>
      </c>
      <c r="AJ169">
        <v>0</v>
      </c>
      <c r="AK169">
        <v>0</v>
      </c>
      <c r="AL169" t="s">
        <v>109</v>
      </c>
      <c r="AM169" t="s">
        <v>110</v>
      </c>
      <c r="AN169" t="s">
        <v>111</v>
      </c>
      <c r="AO169" t="s">
        <v>91</v>
      </c>
      <c r="AP169" t="s">
        <v>74</v>
      </c>
      <c r="AQ169" t="s">
        <v>74</v>
      </c>
      <c r="AR169" t="s">
        <v>93</v>
      </c>
      <c r="AS169" t="s">
        <v>94</v>
      </c>
      <c r="AT169" t="s">
        <v>95</v>
      </c>
      <c r="AU169">
        <v>2008</v>
      </c>
      <c r="AV169">
        <v>43</v>
      </c>
      <c r="AW169">
        <v>7</v>
      </c>
      <c r="AX169" t="s">
        <v>74</v>
      </c>
      <c r="AY169" t="s">
        <v>96</v>
      </c>
      <c r="AZ169" t="s">
        <v>74</v>
      </c>
      <c r="BA169" t="s">
        <v>74</v>
      </c>
      <c r="BB169" t="s">
        <v>1476</v>
      </c>
      <c r="BC169" t="s">
        <v>1476</v>
      </c>
      <c r="BD169" t="s">
        <v>74</v>
      </c>
      <c r="BE169" t="s">
        <v>74</v>
      </c>
      <c r="BF169" t="s">
        <v>74</v>
      </c>
      <c r="BG169" t="s">
        <v>74</v>
      </c>
      <c r="BH169" t="s">
        <v>74</v>
      </c>
      <c r="BI169">
        <v>1</v>
      </c>
      <c r="BJ169" t="s">
        <v>98</v>
      </c>
      <c r="BK169" t="s">
        <v>113</v>
      </c>
      <c r="BL169" t="s">
        <v>98</v>
      </c>
      <c r="BM169" t="s">
        <v>100</v>
      </c>
      <c r="BN169" t="s">
        <v>74</v>
      </c>
      <c r="BO169" t="s">
        <v>74</v>
      </c>
      <c r="BP169" t="s">
        <v>74</v>
      </c>
      <c r="BQ169" t="s">
        <v>74</v>
      </c>
      <c r="BR169" t="s">
        <v>101</v>
      </c>
      <c r="BS169" t="s">
        <v>1477</v>
      </c>
      <c r="BT169" t="str">
        <f>HYPERLINK("https%3A%2F%2Fwww.webofscience.com%2Fwos%2Fwoscc%2Ffull-record%2FWOS:000257683100183","View Full Record in Web of Science")</f>
        <v>View Full Record in Web of Science</v>
      </c>
    </row>
    <row r="170" spans="1:72" x14ac:dyDescent="0.15">
      <c r="A170" t="s">
        <v>72</v>
      </c>
      <c r="B170" t="s">
        <v>1478</v>
      </c>
      <c r="C170" t="s">
        <v>74</v>
      </c>
      <c r="D170" t="s">
        <v>74</v>
      </c>
      <c r="E170" t="s">
        <v>74</v>
      </c>
      <c r="F170" t="s">
        <v>1479</v>
      </c>
      <c r="G170" t="s">
        <v>74</v>
      </c>
      <c r="H170" t="s">
        <v>74</v>
      </c>
      <c r="I170" t="s">
        <v>1480</v>
      </c>
      <c r="J170" t="s">
        <v>77</v>
      </c>
      <c r="K170" t="s">
        <v>74</v>
      </c>
      <c r="L170" t="s">
        <v>74</v>
      </c>
      <c r="M170" t="s">
        <v>78</v>
      </c>
      <c r="N170" t="s">
        <v>52</v>
      </c>
      <c r="O170" t="s">
        <v>79</v>
      </c>
      <c r="P170" t="s">
        <v>80</v>
      </c>
      <c r="Q170" t="s">
        <v>81</v>
      </c>
      <c r="R170" t="s">
        <v>74</v>
      </c>
      <c r="S170" t="s">
        <v>82</v>
      </c>
      <c r="T170" t="s">
        <v>74</v>
      </c>
      <c r="U170" t="s">
        <v>74</v>
      </c>
      <c r="V170" t="s">
        <v>74</v>
      </c>
      <c r="W170" t="s">
        <v>1481</v>
      </c>
      <c r="X170" t="s">
        <v>1482</v>
      </c>
      <c r="Y170" t="s">
        <v>74</v>
      </c>
      <c r="Z170" t="s">
        <v>1483</v>
      </c>
      <c r="AA170" t="s">
        <v>1484</v>
      </c>
      <c r="AB170" t="s">
        <v>1485</v>
      </c>
      <c r="AC170" t="s">
        <v>512</v>
      </c>
      <c r="AD170" t="s">
        <v>333</v>
      </c>
      <c r="AE170" t="s">
        <v>74</v>
      </c>
      <c r="AF170" t="s">
        <v>74</v>
      </c>
      <c r="AG170">
        <v>2</v>
      </c>
      <c r="AH170">
        <v>0</v>
      </c>
      <c r="AI170">
        <v>0</v>
      </c>
      <c r="AJ170">
        <v>0</v>
      </c>
      <c r="AK170">
        <v>1</v>
      </c>
      <c r="AL170" t="s">
        <v>88</v>
      </c>
      <c r="AM170" t="s">
        <v>89</v>
      </c>
      <c r="AN170" t="s">
        <v>90</v>
      </c>
      <c r="AO170" t="s">
        <v>91</v>
      </c>
      <c r="AP170" t="s">
        <v>92</v>
      </c>
      <c r="AQ170" t="s">
        <v>74</v>
      </c>
      <c r="AR170" t="s">
        <v>93</v>
      </c>
      <c r="AS170" t="s">
        <v>94</v>
      </c>
      <c r="AT170" t="s">
        <v>95</v>
      </c>
      <c r="AU170">
        <v>2008</v>
      </c>
      <c r="AV170">
        <v>43</v>
      </c>
      <c r="AW170">
        <v>7</v>
      </c>
      <c r="AX170" t="s">
        <v>74</v>
      </c>
      <c r="AY170" t="s">
        <v>96</v>
      </c>
      <c r="AZ170" t="s">
        <v>74</v>
      </c>
      <c r="BA170" t="s">
        <v>74</v>
      </c>
      <c r="BB170" t="s">
        <v>1476</v>
      </c>
      <c r="BC170" t="s">
        <v>1476</v>
      </c>
      <c r="BD170" t="s">
        <v>74</v>
      </c>
      <c r="BE170" t="s">
        <v>74</v>
      </c>
      <c r="BF170" t="s">
        <v>74</v>
      </c>
      <c r="BG170" t="s">
        <v>74</v>
      </c>
      <c r="BH170" t="s">
        <v>74</v>
      </c>
      <c r="BI170">
        <v>1</v>
      </c>
      <c r="BJ170" t="s">
        <v>98</v>
      </c>
      <c r="BK170" t="s">
        <v>99</v>
      </c>
      <c r="BL170" t="s">
        <v>98</v>
      </c>
      <c r="BM170" t="s">
        <v>100</v>
      </c>
      <c r="BN170" t="s">
        <v>74</v>
      </c>
      <c r="BO170" t="s">
        <v>74</v>
      </c>
      <c r="BP170" t="s">
        <v>74</v>
      </c>
      <c r="BQ170" t="s">
        <v>74</v>
      </c>
      <c r="BR170" t="s">
        <v>101</v>
      </c>
      <c r="BS170" t="s">
        <v>1486</v>
      </c>
      <c r="BT170" t="str">
        <f>HYPERLINK("https%3A%2F%2Fwww.webofscience.com%2Fwos%2Fwoscc%2Ffull-record%2FWOS:000257683100184","View Full Record in Web of Science")</f>
        <v>View Full Record in Web of Science</v>
      </c>
    </row>
    <row r="171" spans="1:72" x14ac:dyDescent="0.15">
      <c r="A171" t="s">
        <v>72</v>
      </c>
      <c r="B171" t="s">
        <v>1487</v>
      </c>
      <c r="C171" t="s">
        <v>74</v>
      </c>
      <c r="D171" t="s">
        <v>74</v>
      </c>
      <c r="E171" t="s">
        <v>74</v>
      </c>
      <c r="F171" t="s">
        <v>1488</v>
      </c>
      <c r="G171" t="s">
        <v>74</v>
      </c>
      <c r="H171" t="s">
        <v>74</v>
      </c>
      <c r="I171" t="s">
        <v>1489</v>
      </c>
      <c r="J171" t="s">
        <v>77</v>
      </c>
      <c r="K171" t="s">
        <v>74</v>
      </c>
      <c r="L171" t="s">
        <v>74</v>
      </c>
      <c r="M171" t="s">
        <v>78</v>
      </c>
      <c r="N171" t="s">
        <v>52</v>
      </c>
      <c r="O171" t="s">
        <v>79</v>
      </c>
      <c r="P171" t="s">
        <v>80</v>
      </c>
      <c r="Q171" t="s">
        <v>81</v>
      </c>
      <c r="R171" t="s">
        <v>74</v>
      </c>
      <c r="S171" t="s">
        <v>82</v>
      </c>
      <c r="T171" t="s">
        <v>74</v>
      </c>
      <c r="U171" t="s">
        <v>74</v>
      </c>
      <c r="V171" t="s">
        <v>74</v>
      </c>
      <c r="W171" t="s">
        <v>1490</v>
      </c>
      <c r="X171" t="s">
        <v>1491</v>
      </c>
      <c r="Y171" t="s">
        <v>74</v>
      </c>
      <c r="Z171" t="s">
        <v>1492</v>
      </c>
      <c r="AA171" t="s">
        <v>74</v>
      </c>
      <c r="AB171" t="s">
        <v>74</v>
      </c>
      <c r="AC171" t="s">
        <v>74</v>
      </c>
      <c r="AD171" t="s">
        <v>74</v>
      </c>
      <c r="AE171" t="s">
        <v>74</v>
      </c>
      <c r="AF171" t="s">
        <v>74</v>
      </c>
      <c r="AG171">
        <v>4</v>
      </c>
      <c r="AH171">
        <v>0</v>
      </c>
      <c r="AI171">
        <v>0</v>
      </c>
      <c r="AJ171">
        <v>0</v>
      </c>
      <c r="AK171">
        <v>1</v>
      </c>
      <c r="AL171" t="s">
        <v>149</v>
      </c>
      <c r="AM171" t="s">
        <v>150</v>
      </c>
      <c r="AN171" t="s">
        <v>151</v>
      </c>
      <c r="AO171" t="s">
        <v>91</v>
      </c>
      <c r="AP171" t="s">
        <v>74</v>
      </c>
      <c r="AQ171" t="s">
        <v>74</v>
      </c>
      <c r="AR171" t="s">
        <v>93</v>
      </c>
      <c r="AS171" t="s">
        <v>94</v>
      </c>
      <c r="AT171" t="s">
        <v>95</v>
      </c>
      <c r="AU171">
        <v>2008</v>
      </c>
      <c r="AV171">
        <v>43</v>
      </c>
      <c r="AW171">
        <v>7</v>
      </c>
      <c r="AX171" t="s">
        <v>74</v>
      </c>
      <c r="AY171" t="s">
        <v>96</v>
      </c>
      <c r="AZ171" t="s">
        <v>74</v>
      </c>
      <c r="BA171" t="s">
        <v>74</v>
      </c>
      <c r="BB171" t="s">
        <v>1493</v>
      </c>
      <c r="BC171" t="s">
        <v>1493</v>
      </c>
      <c r="BD171" t="s">
        <v>74</v>
      </c>
      <c r="BE171" t="s">
        <v>74</v>
      </c>
      <c r="BF171" t="s">
        <v>74</v>
      </c>
      <c r="BG171" t="s">
        <v>74</v>
      </c>
      <c r="BH171" t="s">
        <v>74</v>
      </c>
      <c r="BI171">
        <v>1</v>
      </c>
      <c r="BJ171" t="s">
        <v>98</v>
      </c>
      <c r="BK171" t="s">
        <v>99</v>
      </c>
      <c r="BL171" t="s">
        <v>98</v>
      </c>
      <c r="BM171" t="s">
        <v>100</v>
      </c>
      <c r="BN171" t="s">
        <v>74</v>
      </c>
      <c r="BO171" t="s">
        <v>74</v>
      </c>
      <c r="BP171" t="s">
        <v>74</v>
      </c>
      <c r="BQ171" t="s">
        <v>74</v>
      </c>
      <c r="BR171" t="s">
        <v>101</v>
      </c>
      <c r="BS171" t="s">
        <v>1494</v>
      </c>
      <c r="BT171" t="str">
        <f>HYPERLINK("https%3A%2F%2Fwww.webofscience.com%2Fwos%2Fwoscc%2Ffull-record%2FWOS:000257683100186","View Full Record in Web of Science")</f>
        <v>View Full Record in Web of Science</v>
      </c>
    </row>
    <row r="172" spans="1:72" x14ac:dyDescent="0.15">
      <c r="A172" t="s">
        <v>72</v>
      </c>
      <c r="B172" t="s">
        <v>1487</v>
      </c>
      <c r="C172" t="s">
        <v>74</v>
      </c>
      <c r="D172" t="s">
        <v>74</v>
      </c>
      <c r="E172" t="s">
        <v>74</v>
      </c>
      <c r="F172" t="s">
        <v>1488</v>
      </c>
      <c r="G172" t="s">
        <v>74</v>
      </c>
      <c r="H172" t="s">
        <v>74</v>
      </c>
      <c r="I172" t="s">
        <v>1495</v>
      </c>
      <c r="J172" t="s">
        <v>77</v>
      </c>
      <c r="K172" t="s">
        <v>74</v>
      </c>
      <c r="L172" t="s">
        <v>74</v>
      </c>
      <c r="M172" t="s">
        <v>78</v>
      </c>
      <c r="N172" t="s">
        <v>52</v>
      </c>
      <c r="O172" t="s">
        <v>79</v>
      </c>
      <c r="P172" t="s">
        <v>80</v>
      </c>
      <c r="Q172" t="s">
        <v>81</v>
      </c>
      <c r="R172" t="s">
        <v>74</v>
      </c>
      <c r="S172" t="s">
        <v>82</v>
      </c>
      <c r="T172" t="s">
        <v>74</v>
      </c>
      <c r="U172" t="s">
        <v>74</v>
      </c>
      <c r="V172" t="s">
        <v>74</v>
      </c>
      <c r="W172" t="s">
        <v>1490</v>
      </c>
      <c r="X172" t="s">
        <v>1276</v>
      </c>
      <c r="Y172" t="s">
        <v>74</v>
      </c>
      <c r="Z172" t="s">
        <v>1492</v>
      </c>
      <c r="AA172" t="s">
        <v>74</v>
      </c>
      <c r="AB172" t="s">
        <v>74</v>
      </c>
      <c r="AC172" t="s">
        <v>74</v>
      </c>
      <c r="AD172" t="s">
        <v>74</v>
      </c>
      <c r="AE172" t="s">
        <v>74</v>
      </c>
      <c r="AF172" t="s">
        <v>74</v>
      </c>
      <c r="AG172">
        <v>4</v>
      </c>
      <c r="AH172">
        <v>0</v>
      </c>
      <c r="AI172">
        <v>0</v>
      </c>
      <c r="AJ172">
        <v>0</v>
      </c>
      <c r="AK172">
        <v>0</v>
      </c>
      <c r="AL172" t="s">
        <v>149</v>
      </c>
      <c r="AM172" t="s">
        <v>150</v>
      </c>
      <c r="AN172" t="s">
        <v>151</v>
      </c>
      <c r="AO172" t="s">
        <v>91</v>
      </c>
      <c r="AP172" t="s">
        <v>74</v>
      </c>
      <c r="AQ172" t="s">
        <v>74</v>
      </c>
      <c r="AR172" t="s">
        <v>93</v>
      </c>
      <c r="AS172" t="s">
        <v>94</v>
      </c>
      <c r="AT172" t="s">
        <v>95</v>
      </c>
      <c r="AU172">
        <v>2008</v>
      </c>
      <c r="AV172">
        <v>43</v>
      </c>
      <c r="AW172">
        <v>7</v>
      </c>
      <c r="AX172" t="s">
        <v>74</v>
      </c>
      <c r="AY172" t="s">
        <v>96</v>
      </c>
      <c r="AZ172" t="s">
        <v>74</v>
      </c>
      <c r="BA172" t="s">
        <v>74</v>
      </c>
      <c r="BB172" t="s">
        <v>1493</v>
      </c>
      <c r="BC172" t="s">
        <v>1493</v>
      </c>
      <c r="BD172" t="s">
        <v>74</v>
      </c>
      <c r="BE172" t="s">
        <v>74</v>
      </c>
      <c r="BF172" t="s">
        <v>74</v>
      </c>
      <c r="BG172" t="s">
        <v>74</v>
      </c>
      <c r="BH172" t="s">
        <v>74</v>
      </c>
      <c r="BI172">
        <v>1</v>
      </c>
      <c r="BJ172" t="s">
        <v>98</v>
      </c>
      <c r="BK172" t="s">
        <v>99</v>
      </c>
      <c r="BL172" t="s">
        <v>98</v>
      </c>
      <c r="BM172" t="s">
        <v>100</v>
      </c>
      <c r="BN172" t="s">
        <v>74</v>
      </c>
      <c r="BO172" t="s">
        <v>74</v>
      </c>
      <c r="BP172" t="s">
        <v>74</v>
      </c>
      <c r="BQ172" t="s">
        <v>74</v>
      </c>
      <c r="BR172" t="s">
        <v>101</v>
      </c>
      <c r="BS172" t="s">
        <v>1496</v>
      </c>
      <c r="BT172" t="str">
        <f>HYPERLINK("https%3A%2F%2Fwww.webofscience.com%2Fwos%2Fwoscc%2Ffull-record%2FWOS:000257683100185","View Full Record in Web of Science")</f>
        <v>View Full Record in Web of Science</v>
      </c>
    </row>
    <row r="173" spans="1:72" x14ac:dyDescent="0.15">
      <c r="A173" t="s">
        <v>72</v>
      </c>
      <c r="B173" t="s">
        <v>1497</v>
      </c>
      <c r="C173" t="s">
        <v>74</v>
      </c>
      <c r="D173" t="s">
        <v>74</v>
      </c>
      <c r="E173" t="s">
        <v>74</v>
      </c>
      <c r="F173" t="s">
        <v>1498</v>
      </c>
      <c r="G173" t="s">
        <v>74</v>
      </c>
      <c r="H173" t="s">
        <v>74</v>
      </c>
      <c r="I173" t="s">
        <v>1499</v>
      </c>
      <c r="J173" t="s">
        <v>77</v>
      </c>
      <c r="K173" t="s">
        <v>74</v>
      </c>
      <c r="L173" t="s">
        <v>74</v>
      </c>
      <c r="M173" t="s">
        <v>78</v>
      </c>
      <c r="N173" t="s">
        <v>52</v>
      </c>
      <c r="O173" t="s">
        <v>79</v>
      </c>
      <c r="P173" t="s">
        <v>80</v>
      </c>
      <c r="Q173" t="s">
        <v>81</v>
      </c>
      <c r="R173" t="s">
        <v>74</v>
      </c>
      <c r="S173" t="s">
        <v>82</v>
      </c>
      <c r="T173" t="s">
        <v>74</v>
      </c>
      <c r="U173" t="s">
        <v>720</v>
      </c>
      <c r="V173" t="s">
        <v>74</v>
      </c>
      <c r="W173" t="s">
        <v>1500</v>
      </c>
      <c r="X173" t="s">
        <v>1501</v>
      </c>
      <c r="Y173" t="s">
        <v>74</v>
      </c>
      <c r="Z173" t="s">
        <v>1502</v>
      </c>
      <c r="AA173" t="s">
        <v>1503</v>
      </c>
      <c r="AB173" t="s">
        <v>1504</v>
      </c>
      <c r="AC173" t="s">
        <v>74</v>
      </c>
      <c r="AD173" t="s">
        <v>74</v>
      </c>
      <c r="AE173" t="s">
        <v>74</v>
      </c>
      <c r="AF173" t="s">
        <v>74</v>
      </c>
      <c r="AG173">
        <v>4</v>
      </c>
      <c r="AH173">
        <v>0</v>
      </c>
      <c r="AI173">
        <v>0</v>
      </c>
      <c r="AJ173">
        <v>0</v>
      </c>
      <c r="AK173">
        <v>4</v>
      </c>
      <c r="AL173" t="s">
        <v>88</v>
      </c>
      <c r="AM173" t="s">
        <v>89</v>
      </c>
      <c r="AN173" t="s">
        <v>90</v>
      </c>
      <c r="AO173" t="s">
        <v>91</v>
      </c>
      <c r="AP173" t="s">
        <v>92</v>
      </c>
      <c r="AQ173" t="s">
        <v>74</v>
      </c>
      <c r="AR173" t="s">
        <v>93</v>
      </c>
      <c r="AS173" t="s">
        <v>94</v>
      </c>
      <c r="AT173" t="s">
        <v>95</v>
      </c>
      <c r="AU173">
        <v>2008</v>
      </c>
      <c r="AV173">
        <v>43</v>
      </c>
      <c r="AW173">
        <v>7</v>
      </c>
      <c r="AX173" t="s">
        <v>74</v>
      </c>
      <c r="AY173" t="s">
        <v>96</v>
      </c>
      <c r="AZ173" t="s">
        <v>74</v>
      </c>
      <c r="BA173" t="s">
        <v>74</v>
      </c>
      <c r="BB173" t="s">
        <v>1505</v>
      </c>
      <c r="BC173" t="s">
        <v>1505</v>
      </c>
      <c r="BD173" t="s">
        <v>74</v>
      </c>
      <c r="BE173" t="s">
        <v>74</v>
      </c>
      <c r="BF173" t="s">
        <v>74</v>
      </c>
      <c r="BG173" t="s">
        <v>74</v>
      </c>
      <c r="BH173" t="s">
        <v>74</v>
      </c>
      <c r="BI173">
        <v>1</v>
      </c>
      <c r="BJ173" t="s">
        <v>98</v>
      </c>
      <c r="BK173" t="s">
        <v>99</v>
      </c>
      <c r="BL173" t="s">
        <v>98</v>
      </c>
      <c r="BM173" t="s">
        <v>100</v>
      </c>
      <c r="BN173" t="s">
        <v>74</v>
      </c>
      <c r="BO173" t="s">
        <v>74</v>
      </c>
      <c r="BP173" t="s">
        <v>74</v>
      </c>
      <c r="BQ173" t="s">
        <v>74</v>
      </c>
      <c r="BR173" t="s">
        <v>101</v>
      </c>
      <c r="BS173" t="s">
        <v>1506</v>
      </c>
      <c r="BT173" t="str">
        <f>HYPERLINK("https%3A%2F%2Fwww.webofscience.com%2Fwos%2Fwoscc%2Ffull-record%2FWOS:000257683100187","View Full Record in Web of Science")</f>
        <v>View Full Record in Web of Science</v>
      </c>
    </row>
    <row r="174" spans="1:72" x14ac:dyDescent="0.15">
      <c r="A174" t="s">
        <v>72</v>
      </c>
      <c r="B174" t="s">
        <v>1507</v>
      </c>
      <c r="C174" t="s">
        <v>74</v>
      </c>
      <c r="D174" t="s">
        <v>74</v>
      </c>
      <c r="E174" t="s">
        <v>74</v>
      </c>
      <c r="F174" t="s">
        <v>1508</v>
      </c>
      <c r="G174" t="s">
        <v>74</v>
      </c>
      <c r="H174" t="s">
        <v>74</v>
      </c>
      <c r="I174" t="s">
        <v>1509</v>
      </c>
      <c r="J174" t="s">
        <v>77</v>
      </c>
      <c r="K174" t="s">
        <v>74</v>
      </c>
      <c r="L174" t="s">
        <v>74</v>
      </c>
      <c r="M174" t="s">
        <v>78</v>
      </c>
      <c r="N174" t="s">
        <v>52</v>
      </c>
      <c r="O174" t="s">
        <v>79</v>
      </c>
      <c r="P174" t="s">
        <v>80</v>
      </c>
      <c r="Q174" t="s">
        <v>81</v>
      </c>
      <c r="R174" t="s">
        <v>74</v>
      </c>
      <c r="S174" t="s">
        <v>82</v>
      </c>
      <c r="T174" t="s">
        <v>74</v>
      </c>
      <c r="U174" t="s">
        <v>74</v>
      </c>
      <c r="V174" t="s">
        <v>74</v>
      </c>
      <c r="W174" t="s">
        <v>1510</v>
      </c>
      <c r="X174" t="s">
        <v>1511</v>
      </c>
      <c r="Y174" t="s">
        <v>74</v>
      </c>
      <c r="Z174" t="s">
        <v>1512</v>
      </c>
      <c r="AA174" t="s">
        <v>1513</v>
      </c>
      <c r="AB174" t="s">
        <v>664</v>
      </c>
      <c r="AC174" t="s">
        <v>74</v>
      </c>
      <c r="AD174" t="s">
        <v>74</v>
      </c>
      <c r="AE174" t="s">
        <v>74</v>
      </c>
      <c r="AF174" t="s">
        <v>74</v>
      </c>
      <c r="AG174">
        <v>3</v>
      </c>
      <c r="AH174">
        <v>0</v>
      </c>
      <c r="AI174">
        <v>0</v>
      </c>
      <c r="AJ174">
        <v>0</v>
      </c>
      <c r="AK174">
        <v>1</v>
      </c>
      <c r="AL174" t="s">
        <v>149</v>
      </c>
      <c r="AM174" t="s">
        <v>150</v>
      </c>
      <c r="AN174" t="s">
        <v>151</v>
      </c>
      <c r="AO174" t="s">
        <v>91</v>
      </c>
      <c r="AP174" t="s">
        <v>74</v>
      </c>
      <c r="AQ174" t="s">
        <v>74</v>
      </c>
      <c r="AR174" t="s">
        <v>93</v>
      </c>
      <c r="AS174" t="s">
        <v>94</v>
      </c>
      <c r="AT174" t="s">
        <v>95</v>
      </c>
      <c r="AU174">
        <v>2008</v>
      </c>
      <c r="AV174">
        <v>43</v>
      </c>
      <c r="AW174">
        <v>7</v>
      </c>
      <c r="AX174" t="s">
        <v>74</v>
      </c>
      <c r="AY174" t="s">
        <v>96</v>
      </c>
      <c r="AZ174" t="s">
        <v>74</v>
      </c>
      <c r="BA174" t="s">
        <v>74</v>
      </c>
      <c r="BB174" t="s">
        <v>1505</v>
      </c>
      <c r="BC174" t="s">
        <v>1505</v>
      </c>
      <c r="BD174" t="s">
        <v>74</v>
      </c>
      <c r="BE174" t="s">
        <v>74</v>
      </c>
      <c r="BF174" t="s">
        <v>74</v>
      </c>
      <c r="BG174" t="s">
        <v>74</v>
      </c>
      <c r="BH174" t="s">
        <v>74</v>
      </c>
      <c r="BI174">
        <v>1</v>
      </c>
      <c r="BJ174" t="s">
        <v>98</v>
      </c>
      <c r="BK174" t="s">
        <v>99</v>
      </c>
      <c r="BL174" t="s">
        <v>98</v>
      </c>
      <c r="BM174" t="s">
        <v>100</v>
      </c>
      <c r="BN174" t="s">
        <v>74</v>
      </c>
      <c r="BO174" t="s">
        <v>74</v>
      </c>
      <c r="BP174" t="s">
        <v>74</v>
      </c>
      <c r="BQ174" t="s">
        <v>74</v>
      </c>
      <c r="BR174" t="s">
        <v>101</v>
      </c>
      <c r="BS174" t="s">
        <v>1514</v>
      </c>
      <c r="BT174" t="str">
        <f>HYPERLINK("https%3A%2F%2Fwww.webofscience.com%2Fwos%2Fwoscc%2Ffull-record%2FWOS:000257683100188","View Full Record in Web of Science")</f>
        <v>View Full Record in Web of Science</v>
      </c>
    </row>
    <row r="175" spans="1:72" x14ac:dyDescent="0.15">
      <c r="A175" t="s">
        <v>72</v>
      </c>
      <c r="B175" t="s">
        <v>1515</v>
      </c>
      <c r="C175" t="s">
        <v>74</v>
      </c>
      <c r="D175" t="s">
        <v>74</v>
      </c>
      <c r="E175" t="s">
        <v>74</v>
      </c>
      <c r="F175" t="s">
        <v>1516</v>
      </c>
      <c r="G175" t="s">
        <v>74</v>
      </c>
      <c r="H175" t="s">
        <v>74</v>
      </c>
      <c r="I175" t="s">
        <v>1517</v>
      </c>
      <c r="J175" t="s">
        <v>77</v>
      </c>
      <c r="K175" t="s">
        <v>74</v>
      </c>
      <c r="L175" t="s">
        <v>74</v>
      </c>
      <c r="M175" t="s">
        <v>78</v>
      </c>
      <c r="N175" t="s">
        <v>52</v>
      </c>
      <c r="O175" t="s">
        <v>79</v>
      </c>
      <c r="P175" t="s">
        <v>80</v>
      </c>
      <c r="Q175" t="s">
        <v>81</v>
      </c>
      <c r="R175" t="s">
        <v>74</v>
      </c>
      <c r="S175" t="s">
        <v>82</v>
      </c>
      <c r="T175" t="s">
        <v>74</v>
      </c>
      <c r="U175" t="s">
        <v>1518</v>
      </c>
      <c r="V175" t="s">
        <v>74</v>
      </c>
      <c r="W175" t="s">
        <v>1519</v>
      </c>
      <c r="X175" t="s">
        <v>1520</v>
      </c>
      <c r="Y175" t="s">
        <v>74</v>
      </c>
      <c r="Z175" t="s">
        <v>74</v>
      </c>
      <c r="AA175" t="s">
        <v>74</v>
      </c>
      <c r="AB175" t="s">
        <v>74</v>
      </c>
      <c r="AC175" t="s">
        <v>74</v>
      </c>
      <c r="AD175" t="s">
        <v>74</v>
      </c>
      <c r="AE175" t="s">
        <v>74</v>
      </c>
      <c r="AF175" t="s">
        <v>74</v>
      </c>
      <c r="AG175">
        <v>7</v>
      </c>
      <c r="AH175">
        <v>2</v>
      </c>
      <c r="AI175">
        <v>2</v>
      </c>
      <c r="AJ175">
        <v>0</v>
      </c>
      <c r="AK175">
        <v>0</v>
      </c>
      <c r="AL175" t="s">
        <v>149</v>
      </c>
      <c r="AM175" t="s">
        <v>150</v>
      </c>
      <c r="AN175" t="s">
        <v>151</v>
      </c>
      <c r="AO175" t="s">
        <v>91</v>
      </c>
      <c r="AP175" t="s">
        <v>74</v>
      </c>
      <c r="AQ175" t="s">
        <v>74</v>
      </c>
      <c r="AR175" t="s">
        <v>93</v>
      </c>
      <c r="AS175" t="s">
        <v>94</v>
      </c>
      <c r="AT175" t="s">
        <v>95</v>
      </c>
      <c r="AU175">
        <v>2008</v>
      </c>
      <c r="AV175">
        <v>43</v>
      </c>
      <c r="AW175">
        <v>7</v>
      </c>
      <c r="AX175" t="s">
        <v>74</v>
      </c>
      <c r="AY175" t="s">
        <v>96</v>
      </c>
      <c r="AZ175" t="s">
        <v>74</v>
      </c>
      <c r="BA175" t="s">
        <v>74</v>
      </c>
      <c r="BB175" t="s">
        <v>1521</v>
      </c>
      <c r="BC175" t="s">
        <v>1521</v>
      </c>
      <c r="BD175" t="s">
        <v>74</v>
      </c>
      <c r="BE175" t="s">
        <v>74</v>
      </c>
      <c r="BF175" t="s">
        <v>74</v>
      </c>
      <c r="BG175" t="s">
        <v>74</v>
      </c>
      <c r="BH175" t="s">
        <v>74</v>
      </c>
      <c r="BI175">
        <v>1</v>
      </c>
      <c r="BJ175" t="s">
        <v>98</v>
      </c>
      <c r="BK175" t="s">
        <v>99</v>
      </c>
      <c r="BL175" t="s">
        <v>98</v>
      </c>
      <c r="BM175" t="s">
        <v>100</v>
      </c>
      <c r="BN175" t="s">
        <v>74</v>
      </c>
      <c r="BO175" t="s">
        <v>74</v>
      </c>
      <c r="BP175" t="s">
        <v>74</v>
      </c>
      <c r="BQ175" t="s">
        <v>74</v>
      </c>
      <c r="BR175" t="s">
        <v>101</v>
      </c>
      <c r="BS175" t="s">
        <v>1522</v>
      </c>
      <c r="BT175" t="str">
        <f>HYPERLINK("https%3A%2F%2Fwww.webofscience.com%2Fwos%2Fwoscc%2Ffull-record%2FWOS:000257683100189","View Full Record in Web of Science")</f>
        <v>View Full Record in Web of Science</v>
      </c>
    </row>
    <row r="176" spans="1:72" x14ac:dyDescent="0.15">
      <c r="A176" t="s">
        <v>72</v>
      </c>
      <c r="B176" t="s">
        <v>1523</v>
      </c>
      <c r="C176" t="s">
        <v>74</v>
      </c>
      <c r="D176" t="s">
        <v>74</v>
      </c>
      <c r="E176" t="s">
        <v>74</v>
      </c>
      <c r="F176" t="s">
        <v>1524</v>
      </c>
      <c r="G176" t="s">
        <v>74</v>
      </c>
      <c r="H176" t="s">
        <v>74</v>
      </c>
      <c r="I176" t="s">
        <v>1525</v>
      </c>
      <c r="J176" t="s">
        <v>77</v>
      </c>
      <c r="K176" t="s">
        <v>74</v>
      </c>
      <c r="L176" t="s">
        <v>74</v>
      </c>
      <c r="M176" t="s">
        <v>78</v>
      </c>
      <c r="N176" t="s">
        <v>52</v>
      </c>
      <c r="O176" t="s">
        <v>79</v>
      </c>
      <c r="P176" t="s">
        <v>80</v>
      </c>
      <c r="Q176" t="s">
        <v>81</v>
      </c>
      <c r="R176" t="s">
        <v>74</v>
      </c>
      <c r="S176" t="s">
        <v>82</v>
      </c>
      <c r="T176" t="s">
        <v>74</v>
      </c>
      <c r="U176" t="s">
        <v>74</v>
      </c>
      <c r="V176" t="s">
        <v>74</v>
      </c>
      <c r="W176" t="s">
        <v>1526</v>
      </c>
      <c r="X176" t="s">
        <v>1131</v>
      </c>
      <c r="Y176" t="s">
        <v>74</v>
      </c>
      <c r="Z176" t="s">
        <v>1527</v>
      </c>
      <c r="AA176" t="s">
        <v>74</v>
      </c>
      <c r="AB176" t="s">
        <v>74</v>
      </c>
      <c r="AC176" t="s">
        <v>74</v>
      </c>
      <c r="AD176" t="s">
        <v>74</v>
      </c>
      <c r="AE176" t="s">
        <v>74</v>
      </c>
      <c r="AF176" t="s">
        <v>74</v>
      </c>
      <c r="AG176">
        <v>3</v>
      </c>
      <c r="AH176">
        <v>0</v>
      </c>
      <c r="AI176">
        <v>0</v>
      </c>
      <c r="AJ176">
        <v>0</v>
      </c>
      <c r="AK176">
        <v>0</v>
      </c>
      <c r="AL176" t="s">
        <v>88</v>
      </c>
      <c r="AM176" t="s">
        <v>89</v>
      </c>
      <c r="AN176" t="s">
        <v>90</v>
      </c>
      <c r="AO176" t="s">
        <v>91</v>
      </c>
      <c r="AP176" t="s">
        <v>92</v>
      </c>
      <c r="AQ176" t="s">
        <v>74</v>
      </c>
      <c r="AR176" t="s">
        <v>93</v>
      </c>
      <c r="AS176" t="s">
        <v>94</v>
      </c>
      <c r="AT176" t="s">
        <v>95</v>
      </c>
      <c r="AU176">
        <v>2008</v>
      </c>
      <c r="AV176">
        <v>43</v>
      </c>
      <c r="AW176">
        <v>7</v>
      </c>
      <c r="AX176" t="s">
        <v>74</v>
      </c>
      <c r="AY176" t="s">
        <v>96</v>
      </c>
      <c r="AZ176" t="s">
        <v>74</v>
      </c>
      <c r="BA176" t="s">
        <v>74</v>
      </c>
      <c r="BB176" t="s">
        <v>1521</v>
      </c>
      <c r="BC176" t="s">
        <v>1521</v>
      </c>
      <c r="BD176" t="s">
        <v>74</v>
      </c>
      <c r="BE176" t="s">
        <v>74</v>
      </c>
      <c r="BF176" t="s">
        <v>74</v>
      </c>
      <c r="BG176" t="s">
        <v>74</v>
      </c>
      <c r="BH176" t="s">
        <v>74</v>
      </c>
      <c r="BI176">
        <v>1</v>
      </c>
      <c r="BJ176" t="s">
        <v>98</v>
      </c>
      <c r="BK176" t="s">
        <v>99</v>
      </c>
      <c r="BL176" t="s">
        <v>98</v>
      </c>
      <c r="BM176" t="s">
        <v>100</v>
      </c>
      <c r="BN176" t="s">
        <v>74</v>
      </c>
      <c r="BO176" t="s">
        <v>74</v>
      </c>
      <c r="BP176" t="s">
        <v>74</v>
      </c>
      <c r="BQ176" t="s">
        <v>74</v>
      </c>
      <c r="BR176" t="s">
        <v>101</v>
      </c>
      <c r="BS176" t="s">
        <v>1528</v>
      </c>
      <c r="BT176" t="str">
        <f>HYPERLINK("https%3A%2F%2Fwww.webofscience.com%2Fwos%2Fwoscc%2Ffull-record%2FWOS:000257683100190","View Full Record in Web of Science")</f>
        <v>View Full Record in Web of Science</v>
      </c>
    </row>
    <row r="177" spans="1:72" x14ac:dyDescent="0.15">
      <c r="A177" t="s">
        <v>72</v>
      </c>
      <c r="B177" t="s">
        <v>1529</v>
      </c>
      <c r="C177" t="s">
        <v>74</v>
      </c>
      <c r="D177" t="s">
        <v>74</v>
      </c>
      <c r="E177" t="s">
        <v>74</v>
      </c>
      <c r="F177" t="s">
        <v>1530</v>
      </c>
      <c r="G177" t="s">
        <v>74</v>
      </c>
      <c r="H177" t="s">
        <v>74</v>
      </c>
      <c r="I177" t="s">
        <v>1531</v>
      </c>
      <c r="J177" t="s">
        <v>77</v>
      </c>
      <c r="K177" t="s">
        <v>74</v>
      </c>
      <c r="L177" t="s">
        <v>74</v>
      </c>
      <c r="M177" t="s">
        <v>78</v>
      </c>
      <c r="N177" t="s">
        <v>52</v>
      </c>
      <c r="O177" t="s">
        <v>79</v>
      </c>
      <c r="P177" t="s">
        <v>80</v>
      </c>
      <c r="Q177" t="s">
        <v>81</v>
      </c>
      <c r="R177" t="s">
        <v>74</v>
      </c>
      <c r="S177" t="s">
        <v>82</v>
      </c>
      <c r="T177" t="s">
        <v>74</v>
      </c>
      <c r="U177" t="s">
        <v>74</v>
      </c>
      <c r="V177" t="s">
        <v>74</v>
      </c>
      <c r="W177" t="s">
        <v>1532</v>
      </c>
      <c r="X177" t="s">
        <v>1050</v>
      </c>
      <c r="Y177" t="s">
        <v>74</v>
      </c>
      <c r="Z177" t="s">
        <v>1533</v>
      </c>
      <c r="AA177" t="s">
        <v>74</v>
      </c>
      <c r="AB177" t="s">
        <v>74</v>
      </c>
      <c r="AC177" t="s">
        <v>74</v>
      </c>
      <c r="AD177" t="s">
        <v>74</v>
      </c>
      <c r="AE177" t="s">
        <v>74</v>
      </c>
      <c r="AF177" t="s">
        <v>74</v>
      </c>
      <c r="AG177">
        <v>9</v>
      </c>
      <c r="AH177">
        <v>9</v>
      </c>
      <c r="AI177">
        <v>9</v>
      </c>
      <c r="AJ177">
        <v>0</v>
      </c>
      <c r="AK177">
        <v>2</v>
      </c>
      <c r="AL177" t="s">
        <v>149</v>
      </c>
      <c r="AM177" t="s">
        <v>150</v>
      </c>
      <c r="AN177" t="s">
        <v>151</v>
      </c>
      <c r="AO177" t="s">
        <v>91</v>
      </c>
      <c r="AP177" t="s">
        <v>74</v>
      </c>
      <c r="AQ177" t="s">
        <v>74</v>
      </c>
      <c r="AR177" t="s">
        <v>93</v>
      </c>
      <c r="AS177" t="s">
        <v>94</v>
      </c>
      <c r="AT177" t="s">
        <v>95</v>
      </c>
      <c r="AU177">
        <v>2008</v>
      </c>
      <c r="AV177">
        <v>43</v>
      </c>
      <c r="AW177">
        <v>7</v>
      </c>
      <c r="AX177" t="s">
        <v>74</v>
      </c>
      <c r="AY177" t="s">
        <v>96</v>
      </c>
      <c r="AZ177" t="s">
        <v>74</v>
      </c>
      <c r="BA177" t="s">
        <v>74</v>
      </c>
      <c r="BB177" t="s">
        <v>1534</v>
      </c>
      <c r="BC177" t="s">
        <v>1534</v>
      </c>
      <c r="BD177" t="s">
        <v>74</v>
      </c>
      <c r="BE177" t="s">
        <v>74</v>
      </c>
      <c r="BF177" t="s">
        <v>74</v>
      </c>
      <c r="BG177" t="s">
        <v>74</v>
      </c>
      <c r="BH177" t="s">
        <v>74</v>
      </c>
      <c r="BI177">
        <v>1</v>
      </c>
      <c r="BJ177" t="s">
        <v>98</v>
      </c>
      <c r="BK177" t="s">
        <v>99</v>
      </c>
      <c r="BL177" t="s">
        <v>98</v>
      </c>
      <c r="BM177" t="s">
        <v>100</v>
      </c>
      <c r="BN177" t="s">
        <v>74</v>
      </c>
      <c r="BO177" t="s">
        <v>74</v>
      </c>
      <c r="BP177" t="s">
        <v>74</v>
      </c>
      <c r="BQ177" t="s">
        <v>74</v>
      </c>
      <c r="BR177" t="s">
        <v>101</v>
      </c>
      <c r="BS177" t="s">
        <v>1535</v>
      </c>
      <c r="BT177" t="str">
        <f>HYPERLINK("https%3A%2F%2Fwww.webofscience.com%2Fwos%2Fwoscc%2Ffull-record%2FWOS:000257683100191","View Full Record in Web of Science")</f>
        <v>View Full Record in Web of Science</v>
      </c>
    </row>
    <row r="178" spans="1:72" x14ac:dyDescent="0.15">
      <c r="A178" t="s">
        <v>72</v>
      </c>
      <c r="B178" t="s">
        <v>1536</v>
      </c>
      <c r="C178" t="s">
        <v>74</v>
      </c>
      <c r="D178" t="s">
        <v>74</v>
      </c>
      <c r="E178" t="s">
        <v>74</v>
      </c>
      <c r="F178" t="s">
        <v>1537</v>
      </c>
      <c r="G178" t="s">
        <v>74</v>
      </c>
      <c r="H178" t="s">
        <v>74</v>
      </c>
      <c r="I178" t="s">
        <v>1538</v>
      </c>
      <c r="J178" t="s">
        <v>77</v>
      </c>
      <c r="K178" t="s">
        <v>74</v>
      </c>
      <c r="L178" t="s">
        <v>74</v>
      </c>
      <c r="M178" t="s">
        <v>78</v>
      </c>
      <c r="N178" t="s">
        <v>52</v>
      </c>
      <c r="O178" t="s">
        <v>79</v>
      </c>
      <c r="P178" t="s">
        <v>80</v>
      </c>
      <c r="Q178" t="s">
        <v>81</v>
      </c>
      <c r="R178" t="s">
        <v>74</v>
      </c>
      <c r="S178" t="s">
        <v>82</v>
      </c>
      <c r="T178" t="s">
        <v>74</v>
      </c>
      <c r="U178" t="s">
        <v>74</v>
      </c>
      <c r="V178" t="s">
        <v>74</v>
      </c>
      <c r="W178" t="s">
        <v>1539</v>
      </c>
      <c r="X178" t="s">
        <v>1540</v>
      </c>
      <c r="Y178" t="s">
        <v>74</v>
      </c>
      <c r="Z178" t="s">
        <v>904</v>
      </c>
      <c r="AA178" t="s">
        <v>1541</v>
      </c>
      <c r="AB178" t="s">
        <v>74</v>
      </c>
      <c r="AC178" t="s">
        <v>74</v>
      </c>
      <c r="AD178" t="s">
        <v>74</v>
      </c>
      <c r="AE178" t="s">
        <v>74</v>
      </c>
      <c r="AF178" t="s">
        <v>74</v>
      </c>
      <c r="AG178">
        <v>4</v>
      </c>
      <c r="AH178">
        <v>1</v>
      </c>
      <c r="AI178">
        <v>1</v>
      </c>
      <c r="AJ178">
        <v>0</v>
      </c>
      <c r="AK178">
        <v>0</v>
      </c>
      <c r="AL178" t="s">
        <v>149</v>
      </c>
      <c r="AM178" t="s">
        <v>150</v>
      </c>
      <c r="AN178" t="s">
        <v>151</v>
      </c>
      <c r="AO178" t="s">
        <v>91</v>
      </c>
      <c r="AP178" t="s">
        <v>74</v>
      </c>
      <c r="AQ178" t="s">
        <v>74</v>
      </c>
      <c r="AR178" t="s">
        <v>93</v>
      </c>
      <c r="AS178" t="s">
        <v>94</v>
      </c>
      <c r="AT178" t="s">
        <v>95</v>
      </c>
      <c r="AU178">
        <v>2008</v>
      </c>
      <c r="AV178">
        <v>43</v>
      </c>
      <c r="AW178">
        <v>7</v>
      </c>
      <c r="AX178" t="s">
        <v>74</v>
      </c>
      <c r="AY178" t="s">
        <v>96</v>
      </c>
      <c r="AZ178" t="s">
        <v>74</v>
      </c>
      <c r="BA178" t="s">
        <v>74</v>
      </c>
      <c r="BB178" t="s">
        <v>1534</v>
      </c>
      <c r="BC178" t="s">
        <v>1534</v>
      </c>
      <c r="BD178" t="s">
        <v>74</v>
      </c>
      <c r="BE178" t="s">
        <v>74</v>
      </c>
      <c r="BF178" t="s">
        <v>74</v>
      </c>
      <c r="BG178" t="s">
        <v>74</v>
      </c>
      <c r="BH178" t="s">
        <v>74</v>
      </c>
      <c r="BI178">
        <v>1</v>
      </c>
      <c r="BJ178" t="s">
        <v>98</v>
      </c>
      <c r="BK178" t="s">
        <v>99</v>
      </c>
      <c r="BL178" t="s">
        <v>98</v>
      </c>
      <c r="BM178" t="s">
        <v>100</v>
      </c>
      <c r="BN178" t="s">
        <v>74</v>
      </c>
      <c r="BO178" t="s">
        <v>74</v>
      </c>
      <c r="BP178" t="s">
        <v>74</v>
      </c>
      <c r="BQ178" t="s">
        <v>74</v>
      </c>
      <c r="BR178" t="s">
        <v>101</v>
      </c>
      <c r="BS178" t="s">
        <v>1542</v>
      </c>
      <c r="BT178" t="str">
        <f>HYPERLINK("https%3A%2F%2Fwww.webofscience.com%2Fwos%2Fwoscc%2Ffull-record%2FWOS:000257683100192","View Full Record in Web of Science")</f>
        <v>View Full Record in Web of Science</v>
      </c>
    </row>
    <row r="179" spans="1:72" x14ac:dyDescent="0.15">
      <c r="A179" t="s">
        <v>72</v>
      </c>
      <c r="B179" t="s">
        <v>1543</v>
      </c>
      <c r="C179" t="s">
        <v>74</v>
      </c>
      <c r="D179" t="s">
        <v>74</v>
      </c>
      <c r="E179" t="s">
        <v>74</v>
      </c>
      <c r="F179" t="s">
        <v>1544</v>
      </c>
      <c r="G179" t="s">
        <v>74</v>
      </c>
      <c r="H179" t="s">
        <v>74</v>
      </c>
      <c r="I179" t="s">
        <v>1545</v>
      </c>
      <c r="J179" t="s">
        <v>77</v>
      </c>
      <c r="K179" t="s">
        <v>74</v>
      </c>
      <c r="L179" t="s">
        <v>74</v>
      </c>
      <c r="M179" t="s">
        <v>78</v>
      </c>
      <c r="N179" t="s">
        <v>52</v>
      </c>
      <c r="O179" t="s">
        <v>79</v>
      </c>
      <c r="P179" t="s">
        <v>80</v>
      </c>
      <c r="Q179" t="s">
        <v>81</v>
      </c>
      <c r="R179" t="s">
        <v>74</v>
      </c>
      <c r="S179" t="s">
        <v>82</v>
      </c>
      <c r="T179" t="s">
        <v>74</v>
      </c>
      <c r="U179" t="s">
        <v>1546</v>
      </c>
      <c r="V179" t="s">
        <v>74</v>
      </c>
      <c r="W179" t="s">
        <v>1547</v>
      </c>
      <c r="X179" t="s">
        <v>928</v>
      </c>
      <c r="Y179" t="s">
        <v>74</v>
      </c>
      <c r="Z179" t="s">
        <v>1548</v>
      </c>
      <c r="AA179" t="s">
        <v>74</v>
      </c>
      <c r="AB179" t="s">
        <v>74</v>
      </c>
      <c r="AC179" t="s">
        <v>74</v>
      </c>
      <c r="AD179" t="s">
        <v>74</v>
      </c>
      <c r="AE179" t="s">
        <v>74</v>
      </c>
      <c r="AF179" t="s">
        <v>74</v>
      </c>
      <c r="AG179">
        <v>2</v>
      </c>
      <c r="AH179">
        <v>0</v>
      </c>
      <c r="AI179">
        <v>0</v>
      </c>
      <c r="AJ179">
        <v>0</v>
      </c>
      <c r="AK179">
        <v>0</v>
      </c>
      <c r="AL179" t="s">
        <v>149</v>
      </c>
      <c r="AM179" t="s">
        <v>150</v>
      </c>
      <c r="AN179" t="s">
        <v>151</v>
      </c>
      <c r="AO179" t="s">
        <v>91</v>
      </c>
      <c r="AP179" t="s">
        <v>74</v>
      </c>
      <c r="AQ179" t="s">
        <v>74</v>
      </c>
      <c r="AR179" t="s">
        <v>93</v>
      </c>
      <c r="AS179" t="s">
        <v>94</v>
      </c>
      <c r="AT179" t="s">
        <v>95</v>
      </c>
      <c r="AU179">
        <v>2008</v>
      </c>
      <c r="AV179">
        <v>43</v>
      </c>
      <c r="AW179">
        <v>7</v>
      </c>
      <c r="AX179" t="s">
        <v>74</v>
      </c>
      <c r="AY179" t="s">
        <v>96</v>
      </c>
      <c r="AZ179" t="s">
        <v>74</v>
      </c>
      <c r="BA179" t="s">
        <v>74</v>
      </c>
      <c r="BB179" t="s">
        <v>1549</v>
      </c>
      <c r="BC179" t="s">
        <v>1549</v>
      </c>
      <c r="BD179" t="s">
        <v>74</v>
      </c>
      <c r="BE179" t="s">
        <v>74</v>
      </c>
      <c r="BF179" t="s">
        <v>74</v>
      </c>
      <c r="BG179" t="s">
        <v>74</v>
      </c>
      <c r="BH179" t="s">
        <v>74</v>
      </c>
      <c r="BI179">
        <v>1</v>
      </c>
      <c r="BJ179" t="s">
        <v>98</v>
      </c>
      <c r="BK179" t="s">
        <v>99</v>
      </c>
      <c r="BL179" t="s">
        <v>98</v>
      </c>
      <c r="BM179" t="s">
        <v>100</v>
      </c>
      <c r="BN179" t="s">
        <v>74</v>
      </c>
      <c r="BO179" t="s">
        <v>74</v>
      </c>
      <c r="BP179" t="s">
        <v>74</v>
      </c>
      <c r="BQ179" t="s">
        <v>74</v>
      </c>
      <c r="BR179" t="s">
        <v>101</v>
      </c>
      <c r="BS179" t="s">
        <v>1550</v>
      </c>
      <c r="BT179" t="str">
        <f>HYPERLINK("https%3A%2F%2Fwww.webofscience.com%2Fwos%2Fwoscc%2Ffull-record%2FWOS:000257683100193","View Full Record in Web of Science")</f>
        <v>View Full Record in Web of Science</v>
      </c>
    </row>
    <row r="180" spans="1:72" x14ac:dyDescent="0.15">
      <c r="A180" t="s">
        <v>72</v>
      </c>
      <c r="B180" t="s">
        <v>1551</v>
      </c>
      <c r="C180" t="s">
        <v>74</v>
      </c>
      <c r="D180" t="s">
        <v>74</v>
      </c>
      <c r="E180" t="s">
        <v>74</v>
      </c>
      <c r="F180" t="s">
        <v>1552</v>
      </c>
      <c r="G180" t="s">
        <v>74</v>
      </c>
      <c r="H180" t="s">
        <v>74</v>
      </c>
      <c r="I180" t="s">
        <v>1553</v>
      </c>
      <c r="J180" t="s">
        <v>77</v>
      </c>
      <c r="K180" t="s">
        <v>74</v>
      </c>
      <c r="L180" t="s">
        <v>74</v>
      </c>
      <c r="M180" t="s">
        <v>78</v>
      </c>
      <c r="N180" t="s">
        <v>52</v>
      </c>
      <c r="O180" t="s">
        <v>79</v>
      </c>
      <c r="P180" t="s">
        <v>80</v>
      </c>
      <c r="Q180" t="s">
        <v>81</v>
      </c>
      <c r="R180" t="s">
        <v>74</v>
      </c>
      <c r="S180" t="s">
        <v>82</v>
      </c>
      <c r="T180" t="s">
        <v>74</v>
      </c>
      <c r="U180" t="s">
        <v>74</v>
      </c>
      <c r="V180" t="s">
        <v>74</v>
      </c>
      <c r="W180" t="s">
        <v>1554</v>
      </c>
      <c r="X180" t="s">
        <v>108</v>
      </c>
      <c r="Y180" t="s">
        <v>74</v>
      </c>
      <c r="Z180" t="s">
        <v>1555</v>
      </c>
      <c r="AA180" t="s">
        <v>74</v>
      </c>
      <c r="AB180" t="s">
        <v>74</v>
      </c>
      <c r="AC180" t="s">
        <v>74</v>
      </c>
      <c r="AD180" t="s">
        <v>74</v>
      </c>
      <c r="AE180" t="s">
        <v>74</v>
      </c>
      <c r="AF180" t="s">
        <v>74</v>
      </c>
      <c r="AG180">
        <v>8</v>
      </c>
      <c r="AH180">
        <v>3</v>
      </c>
      <c r="AI180">
        <v>3</v>
      </c>
      <c r="AJ180">
        <v>0</v>
      </c>
      <c r="AK180">
        <v>0</v>
      </c>
      <c r="AL180" t="s">
        <v>88</v>
      </c>
      <c r="AM180" t="s">
        <v>89</v>
      </c>
      <c r="AN180" t="s">
        <v>90</v>
      </c>
      <c r="AO180" t="s">
        <v>91</v>
      </c>
      <c r="AP180" t="s">
        <v>92</v>
      </c>
      <c r="AQ180" t="s">
        <v>74</v>
      </c>
      <c r="AR180" t="s">
        <v>93</v>
      </c>
      <c r="AS180" t="s">
        <v>94</v>
      </c>
      <c r="AT180" t="s">
        <v>95</v>
      </c>
      <c r="AU180">
        <v>2008</v>
      </c>
      <c r="AV180">
        <v>43</v>
      </c>
      <c r="AW180">
        <v>7</v>
      </c>
      <c r="AX180" t="s">
        <v>74</v>
      </c>
      <c r="AY180" t="s">
        <v>96</v>
      </c>
      <c r="AZ180" t="s">
        <v>74</v>
      </c>
      <c r="BA180" t="s">
        <v>74</v>
      </c>
      <c r="BB180" t="s">
        <v>1549</v>
      </c>
      <c r="BC180" t="s">
        <v>1549</v>
      </c>
      <c r="BD180" t="s">
        <v>74</v>
      </c>
      <c r="BE180" t="s">
        <v>74</v>
      </c>
      <c r="BF180" t="s">
        <v>74</v>
      </c>
      <c r="BG180" t="s">
        <v>74</v>
      </c>
      <c r="BH180" t="s">
        <v>74</v>
      </c>
      <c r="BI180">
        <v>1</v>
      </c>
      <c r="BJ180" t="s">
        <v>98</v>
      </c>
      <c r="BK180" t="s">
        <v>99</v>
      </c>
      <c r="BL180" t="s">
        <v>98</v>
      </c>
      <c r="BM180" t="s">
        <v>100</v>
      </c>
      <c r="BN180" t="s">
        <v>74</v>
      </c>
      <c r="BO180" t="s">
        <v>74</v>
      </c>
      <c r="BP180" t="s">
        <v>74</v>
      </c>
      <c r="BQ180" t="s">
        <v>74</v>
      </c>
      <c r="BR180" t="s">
        <v>101</v>
      </c>
      <c r="BS180" t="s">
        <v>1556</v>
      </c>
      <c r="BT180" t="str">
        <f>HYPERLINK("https%3A%2F%2Fwww.webofscience.com%2Fwos%2Fwoscc%2Ffull-record%2FWOS:000257683100194","View Full Record in Web of Science")</f>
        <v>View Full Record in Web of Science</v>
      </c>
    </row>
    <row r="181" spans="1:72" x14ac:dyDescent="0.15">
      <c r="A181" t="s">
        <v>72</v>
      </c>
      <c r="B181" t="s">
        <v>1557</v>
      </c>
      <c r="C181" t="s">
        <v>74</v>
      </c>
      <c r="D181" t="s">
        <v>74</v>
      </c>
      <c r="E181" t="s">
        <v>74</v>
      </c>
      <c r="F181" t="s">
        <v>1558</v>
      </c>
      <c r="G181" t="s">
        <v>74</v>
      </c>
      <c r="H181" t="s">
        <v>74</v>
      </c>
      <c r="I181" t="s">
        <v>1559</v>
      </c>
      <c r="J181" t="s">
        <v>77</v>
      </c>
      <c r="K181" t="s">
        <v>74</v>
      </c>
      <c r="L181" t="s">
        <v>74</v>
      </c>
      <c r="M181" t="s">
        <v>78</v>
      </c>
      <c r="N181" t="s">
        <v>52</v>
      </c>
      <c r="O181" t="s">
        <v>79</v>
      </c>
      <c r="P181" t="s">
        <v>80</v>
      </c>
      <c r="Q181" t="s">
        <v>81</v>
      </c>
      <c r="R181" t="s">
        <v>74</v>
      </c>
      <c r="S181" t="s">
        <v>82</v>
      </c>
      <c r="T181" t="s">
        <v>74</v>
      </c>
      <c r="U181" t="s">
        <v>74</v>
      </c>
      <c r="V181" t="s">
        <v>74</v>
      </c>
      <c r="W181" t="s">
        <v>1560</v>
      </c>
      <c r="X181" t="s">
        <v>1561</v>
      </c>
      <c r="Y181" t="s">
        <v>74</v>
      </c>
      <c r="Z181" t="s">
        <v>1562</v>
      </c>
      <c r="AA181" t="s">
        <v>1563</v>
      </c>
      <c r="AB181" t="s">
        <v>752</v>
      </c>
      <c r="AC181" t="s">
        <v>74</v>
      </c>
      <c r="AD181" t="s">
        <v>74</v>
      </c>
      <c r="AE181" t="s">
        <v>74</v>
      </c>
      <c r="AF181" t="s">
        <v>74</v>
      </c>
      <c r="AG181">
        <v>3</v>
      </c>
      <c r="AH181">
        <v>1</v>
      </c>
      <c r="AI181">
        <v>1</v>
      </c>
      <c r="AJ181">
        <v>0</v>
      </c>
      <c r="AK181">
        <v>6</v>
      </c>
      <c r="AL181" t="s">
        <v>88</v>
      </c>
      <c r="AM181" t="s">
        <v>89</v>
      </c>
      <c r="AN181" t="s">
        <v>90</v>
      </c>
      <c r="AO181" t="s">
        <v>91</v>
      </c>
      <c r="AP181" t="s">
        <v>92</v>
      </c>
      <c r="AQ181" t="s">
        <v>74</v>
      </c>
      <c r="AR181" t="s">
        <v>93</v>
      </c>
      <c r="AS181" t="s">
        <v>94</v>
      </c>
      <c r="AT181" t="s">
        <v>95</v>
      </c>
      <c r="AU181">
        <v>2008</v>
      </c>
      <c r="AV181">
        <v>43</v>
      </c>
      <c r="AW181">
        <v>7</v>
      </c>
      <c r="AX181" t="s">
        <v>74</v>
      </c>
      <c r="AY181" t="s">
        <v>96</v>
      </c>
      <c r="AZ181" t="s">
        <v>74</v>
      </c>
      <c r="BA181" t="s">
        <v>74</v>
      </c>
      <c r="BB181" t="s">
        <v>1428</v>
      </c>
      <c r="BC181" t="s">
        <v>1428</v>
      </c>
      <c r="BD181" t="s">
        <v>74</v>
      </c>
      <c r="BE181" t="s">
        <v>74</v>
      </c>
      <c r="BF181" t="s">
        <v>74</v>
      </c>
      <c r="BG181" t="s">
        <v>74</v>
      </c>
      <c r="BH181" t="s">
        <v>74</v>
      </c>
      <c r="BI181">
        <v>1</v>
      </c>
      <c r="BJ181" t="s">
        <v>98</v>
      </c>
      <c r="BK181" t="s">
        <v>99</v>
      </c>
      <c r="BL181" t="s">
        <v>98</v>
      </c>
      <c r="BM181" t="s">
        <v>100</v>
      </c>
      <c r="BN181" t="s">
        <v>74</v>
      </c>
      <c r="BO181" t="s">
        <v>74</v>
      </c>
      <c r="BP181" t="s">
        <v>74</v>
      </c>
      <c r="BQ181" t="s">
        <v>74</v>
      </c>
      <c r="BR181" t="s">
        <v>101</v>
      </c>
      <c r="BS181" t="s">
        <v>1564</v>
      </c>
      <c r="BT181" t="str">
        <f>HYPERLINK("https%3A%2F%2Fwww.webofscience.com%2Fwos%2Fwoscc%2Ffull-record%2FWOS:000257683100351","View Full Record in Web of Science")</f>
        <v>View Full Record in Web of Science</v>
      </c>
    </row>
    <row r="182" spans="1:72" x14ac:dyDescent="0.15">
      <c r="A182" t="s">
        <v>72</v>
      </c>
      <c r="B182" t="s">
        <v>1565</v>
      </c>
      <c r="C182" t="s">
        <v>74</v>
      </c>
      <c r="D182" t="s">
        <v>74</v>
      </c>
      <c r="E182" t="s">
        <v>74</v>
      </c>
      <c r="F182" t="s">
        <v>1566</v>
      </c>
      <c r="G182" t="s">
        <v>74</v>
      </c>
      <c r="H182" t="s">
        <v>74</v>
      </c>
      <c r="I182" t="s">
        <v>1567</v>
      </c>
      <c r="J182" t="s">
        <v>77</v>
      </c>
      <c r="K182" t="s">
        <v>74</v>
      </c>
      <c r="L182" t="s">
        <v>74</v>
      </c>
      <c r="M182" t="s">
        <v>78</v>
      </c>
      <c r="N182" t="s">
        <v>52</v>
      </c>
      <c r="O182" t="s">
        <v>79</v>
      </c>
      <c r="P182" t="s">
        <v>80</v>
      </c>
      <c r="Q182" t="s">
        <v>81</v>
      </c>
      <c r="R182" t="s">
        <v>74</v>
      </c>
      <c r="S182" t="s">
        <v>82</v>
      </c>
      <c r="T182" t="s">
        <v>74</v>
      </c>
      <c r="U182" t="s">
        <v>1568</v>
      </c>
      <c r="V182" t="s">
        <v>74</v>
      </c>
      <c r="W182" t="s">
        <v>1569</v>
      </c>
      <c r="X182" t="s">
        <v>1570</v>
      </c>
      <c r="Y182" t="s">
        <v>74</v>
      </c>
      <c r="Z182" t="s">
        <v>1562</v>
      </c>
      <c r="AA182" t="s">
        <v>938</v>
      </c>
      <c r="AB182" t="s">
        <v>74</v>
      </c>
      <c r="AC182" t="s">
        <v>74</v>
      </c>
      <c r="AD182" t="s">
        <v>74</v>
      </c>
      <c r="AE182" t="s">
        <v>74</v>
      </c>
      <c r="AF182" t="s">
        <v>74</v>
      </c>
      <c r="AG182">
        <v>3</v>
      </c>
      <c r="AH182">
        <v>0</v>
      </c>
      <c r="AI182">
        <v>0</v>
      </c>
      <c r="AJ182">
        <v>0</v>
      </c>
      <c r="AK182">
        <v>2</v>
      </c>
      <c r="AL182" t="s">
        <v>88</v>
      </c>
      <c r="AM182" t="s">
        <v>89</v>
      </c>
      <c r="AN182" t="s">
        <v>90</v>
      </c>
      <c r="AO182" t="s">
        <v>91</v>
      </c>
      <c r="AP182" t="s">
        <v>92</v>
      </c>
      <c r="AQ182" t="s">
        <v>74</v>
      </c>
      <c r="AR182" t="s">
        <v>93</v>
      </c>
      <c r="AS182" t="s">
        <v>94</v>
      </c>
      <c r="AT182" t="s">
        <v>95</v>
      </c>
      <c r="AU182">
        <v>2008</v>
      </c>
      <c r="AV182">
        <v>43</v>
      </c>
      <c r="AW182">
        <v>7</v>
      </c>
      <c r="AX182" t="s">
        <v>74</v>
      </c>
      <c r="AY182" t="s">
        <v>96</v>
      </c>
      <c r="AZ182" t="s">
        <v>74</v>
      </c>
      <c r="BA182" t="s">
        <v>74</v>
      </c>
      <c r="BB182" t="s">
        <v>1571</v>
      </c>
      <c r="BC182" t="s">
        <v>1571</v>
      </c>
      <c r="BD182" t="s">
        <v>74</v>
      </c>
      <c r="BE182" t="s">
        <v>74</v>
      </c>
      <c r="BF182" t="s">
        <v>74</v>
      </c>
      <c r="BG182" t="s">
        <v>74</v>
      </c>
      <c r="BH182" t="s">
        <v>74</v>
      </c>
      <c r="BI182">
        <v>1</v>
      </c>
      <c r="BJ182" t="s">
        <v>98</v>
      </c>
      <c r="BK182" t="s">
        <v>99</v>
      </c>
      <c r="BL182" t="s">
        <v>98</v>
      </c>
      <c r="BM182" t="s">
        <v>100</v>
      </c>
      <c r="BN182" t="s">
        <v>74</v>
      </c>
      <c r="BO182" t="s">
        <v>74</v>
      </c>
      <c r="BP182" t="s">
        <v>74</v>
      </c>
      <c r="BQ182" t="s">
        <v>74</v>
      </c>
      <c r="BR182" t="s">
        <v>101</v>
      </c>
      <c r="BS182" t="s">
        <v>1572</v>
      </c>
      <c r="BT182" t="str">
        <f>HYPERLINK("https%3A%2F%2Fwww.webofscience.com%2Fwos%2Fwoscc%2Ffull-record%2FWOS:000257683100195","View Full Record in Web of Science")</f>
        <v>View Full Record in Web of Science</v>
      </c>
    </row>
    <row r="183" spans="1:72" x14ac:dyDescent="0.15">
      <c r="A183" t="s">
        <v>72</v>
      </c>
      <c r="B183" t="s">
        <v>1573</v>
      </c>
      <c r="C183" t="s">
        <v>74</v>
      </c>
      <c r="D183" t="s">
        <v>74</v>
      </c>
      <c r="E183" t="s">
        <v>74</v>
      </c>
      <c r="F183" t="s">
        <v>1574</v>
      </c>
      <c r="G183" t="s">
        <v>74</v>
      </c>
      <c r="H183" t="s">
        <v>74</v>
      </c>
      <c r="I183" t="s">
        <v>1575</v>
      </c>
      <c r="J183" t="s">
        <v>77</v>
      </c>
      <c r="K183" t="s">
        <v>74</v>
      </c>
      <c r="L183" t="s">
        <v>74</v>
      </c>
      <c r="M183" t="s">
        <v>78</v>
      </c>
      <c r="N183" t="s">
        <v>52</v>
      </c>
      <c r="O183" t="s">
        <v>79</v>
      </c>
      <c r="P183" t="s">
        <v>80</v>
      </c>
      <c r="Q183" t="s">
        <v>81</v>
      </c>
      <c r="R183" t="s">
        <v>74</v>
      </c>
      <c r="S183" t="s">
        <v>82</v>
      </c>
      <c r="T183" t="s">
        <v>74</v>
      </c>
      <c r="U183" t="s">
        <v>74</v>
      </c>
      <c r="V183" t="s">
        <v>74</v>
      </c>
      <c r="W183" t="s">
        <v>1576</v>
      </c>
      <c r="X183" t="s">
        <v>1577</v>
      </c>
      <c r="Y183" t="s">
        <v>74</v>
      </c>
      <c r="Z183" t="s">
        <v>1578</v>
      </c>
      <c r="AA183" t="s">
        <v>74</v>
      </c>
      <c r="AB183" t="s">
        <v>74</v>
      </c>
      <c r="AC183" t="s">
        <v>74</v>
      </c>
      <c r="AD183" t="s">
        <v>74</v>
      </c>
      <c r="AE183" t="s">
        <v>74</v>
      </c>
      <c r="AF183" t="s">
        <v>74</v>
      </c>
      <c r="AG183">
        <v>4</v>
      </c>
      <c r="AH183">
        <v>0</v>
      </c>
      <c r="AI183">
        <v>0</v>
      </c>
      <c r="AJ183">
        <v>0</v>
      </c>
      <c r="AK183">
        <v>1</v>
      </c>
      <c r="AL183" t="s">
        <v>109</v>
      </c>
      <c r="AM183" t="s">
        <v>110</v>
      </c>
      <c r="AN183" t="s">
        <v>111</v>
      </c>
      <c r="AO183" t="s">
        <v>91</v>
      </c>
      <c r="AP183" t="s">
        <v>74</v>
      </c>
      <c r="AQ183" t="s">
        <v>74</v>
      </c>
      <c r="AR183" t="s">
        <v>93</v>
      </c>
      <c r="AS183" t="s">
        <v>94</v>
      </c>
      <c r="AT183" t="s">
        <v>95</v>
      </c>
      <c r="AU183">
        <v>2008</v>
      </c>
      <c r="AV183">
        <v>43</v>
      </c>
      <c r="AW183">
        <v>7</v>
      </c>
      <c r="AX183" t="s">
        <v>74</v>
      </c>
      <c r="AY183" t="s">
        <v>96</v>
      </c>
      <c r="AZ183" t="s">
        <v>74</v>
      </c>
      <c r="BA183" t="s">
        <v>74</v>
      </c>
      <c r="BB183" t="s">
        <v>1571</v>
      </c>
      <c r="BC183" t="s">
        <v>1571</v>
      </c>
      <c r="BD183" t="s">
        <v>74</v>
      </c>
      <c r="BE183" t="s">
        <v>74</v>
      </c>
      <c r="BF183" t="s">
        <v>74</v>
      </c>
      <c r="BG183" t="s">
        <v>74</v>
      </c>
      <c r="BH183" t="s">
        <v>74</v>
      </c>
      <c r="BI183">
        <v>1</v>
      </c>
      <c r="BJ183" t="s">
        <v>98</v>
      </c>
      <c r="BK183" t="s">
        <v>113</v>
      </c>
      <c r="BL183" t="s">
        <v>98</v>
      </c>
      <c r="BM183" t="s">
        <v>100</v>
      </c>
      <c r="BN183" t="s">
        <v>74</v>
      </c>
      <c r="BO183" t="s">
        <v>74</v>
      </c>
      <c r="BP183" t="s">
        <v>74</v>
      </c>
      <c r="BQ183" t="s">
        <v>74</v>
      </c>
      <c r="BR183" t="s">
        <v>101</v>
      </c>
      <c r="BS183" t="s">
        <v>1579</v>
      </c>
      <c r="BT183" t="str">
        <f>HYPERLINK("https%3A%2F%2Fwww.webofscience.com%2Fwos%2Fwoscc%2Ffull-record%2FWOS:000257683100196","View Full Record in Web of Science")</f>
        <v>View Full Record in Web of Science</v>
      </c>
    </row>
    <row r="184" spans="1:72" x14ac:dyDescent="0.15">
      <c r="A184" t="s">
        <v>72</v>
      </c>
      <c r="B184" t="s">
        <v>1580</v>
      </c>
      <c r="C184" t="s">
        <v>74</v>
      </c>
      <c r="D184" t="s">
        <v>74</v>
      </c>
      <c r="E184" t="s">
        <v>74</v>
      </c>
      <c r="F184" t="s">
        <v>1581</v>
      </c>
      <c r="G184" t="s">
        <v>74</v>
      </c>
      <c r="H184" t="s">
        <v>74</v>
      </c>
      <c r="I184" t="s">
        <v>1582</v>
      </c>
      <c r="J184" t="s">
        <v>77</v>
      </c>
      <c r="K184" t="s">
        <v>74</v>
      </c>
      <c r="L184" t="s">
        <v>74</v>
      </c>
      <c r="M184" t="s">
        <v>78</v>
      </c>
      <c r="N184" t="s">
        <v>52</v>
      </c>
      <c r="O184" t="s">
        <v>79</v>
      </c>
      <c r="P184" t="s">
        <v>80</v>
      </c>
      <c r="Q184" t="s">
        <v>81</v>
      </c>
      <c r="R184" t="s">
        <v>74</v>
      </c>
      <c r="S184" t="s">
        <v>82</v>
      </c>
      <c r="T184" t="s">
        <v>74</v>
      </c>
      <c r="U184" t="s">
        <v>1583</v>
      </c>
      <c r="V184" t="s">
        <v>74</v>
      </c>
      <c r="W184" t="s">
        <v>1584</v>
      </c>
      <c r="X184" t="s">
        <v>1585</v>
      </c>
      <c r="Y184" t="s">
        <v>74</v>
      </c>
      <c r="Z184" t="s">
        <v>1586</v>
      </c>
      <c r="AA184" t="s">
        <v>74</v>
      </c>
      <c r="AB184" t="s">
        <v>74</v>
      </c>
      <c r="AC184" t="s">
        <v>74</v>
      </c>
      <c r="AD184" t="s">
        <v>74</v>
      </c>
      <c r="AE184" t="s">
        <v>74</v>
      </c>
      <c r="AF184" t="s">
        <v>74</v>
      </c>
      <c r="AG184">
        <v>4</v>
      </c>
      <c r="AH184">
        <v>1</v>
      </c>
      <c r="AI184">
        <v>1</v>
      </c>
      <c r="AJ184">
        <v>0</v>
      </c>
      <c r="AK184">
        <v>1</v>
      </c>
      <c r="AL184" t="s">
        <v>88</v>
      </c>
      <c r="AM184" t="s">
        <v>89</v>
      </c>
      <c r="AN184" t="s">
        <v>90</v>
      </c>
      <c r="AO184" t="s">
        <v>91</v>
      </c>
      <c r="AP184" t="s">
        <v>92</v>
      </c>
      <c r="AQ184" t="s">
        <v>74</v>
      </c>
      <c r="AR184" t="s">
        <v>93</v>
      </c>
      <c r="AS184" t="s">
        <v>94</v>
      </c>
      <c r="AT184" t="s">
        <v>95</v>
      </c>
      <c r="AU184">
        <v>2008</v>
      </c>
      <c r="AV184">
        <v>43</v>
      </c>
      <c r="AW184">
        <v>7</v>
      </c>
      <c r="AX184" t="s">
        <v>74</v>
      </c>
      <c r="AY184" t="s">
        <v>96</v>
      </c>
      <c r="AZ184" t="s">
        <v>74</v>
      </c>
      <c r="BA184" t="s">
        <v>74</v>
      </c>
      <c r="BB184" t="s">
        <v>1587</v>
      </c>
      <c r="BC184" t="s">
        <v>1587</v>
      </c>
      <c r="BD184" t="s">
        <v>74</v>
      </c>
      <c r="BE184" t="s">
        <v>74</v>
      </c>
      <c r="BF184" t="s">
        <v>74</v>
      </c>
      <c r="BG184" t="s">
        <v>74</v>
      </c>
      <c r="BH184" t="s">
        <v>74</v>
      </c>
      <c r="BI184">
        <v>1</v>
      </c>
      <c r="BJ184" t="s">
        <v>98</v>
      </c>
      <c r="BK184" t="s">
        <v>99</v>
      </c>
      <c r="BL184" t="s">
        <v>98</v>
      </c>
      <c r="BM184" t="s">
        <v>100</v>
      </c>
      <c r="BN184" t="s">
        <v>74</v>
      </c>
      <c r="BO184" t="s">
        <v>74</v>
      </c>
      <c r="BP184" t="s">
        <v>74</v>
      </c>
      <c r="BQ184" t="s">
        <v>74</v>
      </c>
      <c r="BR184" t="s">
        <v>101</v>
      </c>
      <c r="BS184" t="s">
        <v>1588</v>
      </c>
      <c r="BT184" t="str">
        <f>HYPERLINK("https%3A%2F%2Fwww.webofscience.com%2Fwos%2Fwoscc%2Ffull-record%2FWOS:000257683100197","View Full Record in Web of Science")</f>
        <v>View Full Record in Web of Science</v>
      </c>
    </row>
    <row r="185" spans="1:72" x14ac:dyDescent="0.15">
      <c r="A185" t="s">
        <v>72</v>
      </c>
      <c r="B185" t="s">
        <v>1589</v>
      </c>
      <c r="C185" t="s">
        <v>74</v>
      </c>
      <c r="D185" t="s">
        <v>74</v>
      </c>
      <c r="E185" t="s">
        <v>74</v>
      </c>
      <c r="F185" t="s">
        <v>1590</v>
      </c>
      <c r="G185" t="s">
        <v>74</v>
      </c>
      <c r="H185" t="s">
        <v>74</v>
      </c>
      <c r="I185" t="s">
        <v>1591</v>
      </c>
      <c r="J185" t="s">
        <v>77</v>
      </c>
      <c r="K185" t="s">
        <v>74</v>
      </c>
      <c r="L185" t="s">
        <v>74</v>
      </c>
      <c r="M185" t="s">
        <v>78</v>
      </c>
      <c r="N185" t="s">
        <v>52</v>
      </c>
      <c r="O185" t="s">
        <v>79</v>
      </c>
      <c r="P185" t="s">
        <v>80</v>
      </c>
      <c r="Q185" t="s">
        <v>81</v>
      </c>
      <c r="R185" t="s">
        <v>74</v>
      </c>
      <c r="S185" t="s">
        <v>82</v>
      </c>
      <c r="T185" t="s">
        <v>74</v>
      </c>
      <c r="U185" t="s">
        <v>74</v>
      </c>
      <c r="V185" t="s">
        <v>74</v>
      </c>
      <c r="W185" t="s">
        <v>1592</v>
      </c>
      <c r="X185" t="s">
        <v>1131</v>
      </c>
      <c r="Y185" t="s">
        <v>74</v>
      </c>
      <c r="Z185" t="s">
        <v>1593</v>
      </c>
      <c r="AA185" t="s">
        <v>74</v>
      </c>
      <c r="AB185" t="s">
        <v>74</v>
      </c>
      <c r="AC185" t="s">
        <v>74</v>
      </c>
      <c r="AD185" t="s">
        <v>74</v>
      </c>
      <c r="AE185" t="s">
        <v>74</v>
      </c>
      <c r="AF185" t="s">
        <v>74</v>
      </c>
      <c r="AG185">
        <v>5</v>
      </c>
      <c r="AH185">
        <v>1</v>
      </c>
      <c r="AI185">
        <v>1</v>
      </c>
      <c r="AJ185">
        <v>0</v>
      </c>
      <c r="AK185">
        <v>0</v>
      </c>
      <c r="AL185" t="s">
        <v>109</v>
      </c>
      <c r="AM185" t="s">
        <v>110</v>
      </c>
      <c r="AN185" t="s">
        <v>111</v>
      </c>
      <c r="AO185" t="s">
        <v>91</v>
      </c>
      <c r="AP185" t="s">
        <v>74</v>
      </c>
      <c r="AQ185" t="s">
        <v>74</v>
      </c>
      <c r="AR185" t="s">
        <v>93</v>
      </c>
      <c r="AS185" t="s">
        <v>94</v>
      </c>
      <c r="AT185" t="s">
        <v>95</v>
      </c>
      <c r="AU185">
        <v>2008</v>
      </c>
      <c r="AV185">
        <v>43</v>
      </c>
      <c r="AW185">
        <v>7</v>
      </c>
      <c r="AX185" t="s">
        <v>74</v>
      </c>
      <c r="AY185" t="s">
        <v>96</v>
      </c>
      <c r="AZ185" t="s">
        <v>74</v>
      </c>
      <c r="BA185" t="s">
        <v>74</v>
      </c>
      <c r="BB185" t="s">
        <v>1587</v>
      </c>
      <c r="BC185" t="s">
        <v>1587</v>
      </c>
      <c r="BD185" t="s">
        <v>74</v>
      </c>
      <c r="BE185" t="s">
        <v>74</v>
      </c>
      <c r="BF185" t="s">
        <v>74</v>
      </c>
      <c r="BG185" t="s">
        <v>74</v>
      </c>
      <c r="BH185" t="s">
        <v>74</v>
      </c>
      <c r="BI185">
        <v>1</v>
      </c>
      <c r="BJ185" t="s">
        <v>98</v>
      </c>
      <c r="BK185" t="s">
        <v>113</v>
      </c>
      <c r="BL185" t="s">
        <v>98</v>
      </c>
      <c r="BM185" t="s">
        <v>100</v>
      </c>
      <c r="BN185" t="s">
        <v>74</v>
      </c>
      <c r="BO185" t="s">
        <v>74</v>
      </c>
      <c r="BP185" t="s">
        <v>74</v>
      </c>
      <c r="BQ185" t="s">
        <v>74</v>
      </c>
      <c r="BR185" t="s">
        <v>101</v>
      </c>
      <c r="BS185" t="s">
        <v>1594</v>
      </c>
      <c r="BT185" t="str">
        <f>HYPERLINK("https%3A%2F%2Fwww.webofscience.com%2Fwos%2Fwoscc%2Ffull-record%2FWOS:000257683100198","View Full Record in Web of Science")</f>
        <v>View Full Record in Web of Science</v>
      </c>
    </row>
    <row r="186" spans="1:72" x14ac:dyDescent="0.15">
      <c r="A186" t="s">
        <v>72</v>
      </c>
      <c r="B186" t="s">
        <v>1595</v>
      </c>
      <c r="C186" t="s">
        <v>74</v>
      </c>
      <c r="D186" t="s">
        <v>74</v>
      </c>
      <c r="E186" t="s">
        <v>74</v>
      </c>
      <c r="F186" t="s">
        <v>1596</v>
      </c>
      <c r="G186" t="s">
        <v>74</v>
      </c>
      <c r="H186" t="s">
        <v>74</v>
      </c>
      <c r="I186" t="s">
        <v>1597</v>
      </c>
      <c r="J186" t="s">
        <v>77</v>
      </c>
      <c r="K186" t="s">
        <v>74</v>
      </c>
      <c r="L186" t="s">
        <v>74</v>
      </c>
      <c r="M186" t="s">
        <v>78</v>
      </c>
      <c r="N186" t="s">
        <v>52</v>
      </c>
      <c r="O186" t="s">
        <v>79</v>
      </c>
      <c r="P186" t="s">
        <v>80</v>
      </c>
      <c r="Q186" t="s">
        <v>81</v>
      </c>
      <c r="R186" t="s">
        <v>74</v>
      </c>
      <c r="S186" t="s">
        <v>82</v>
      </c>
      <c r="T186" t="s">
        <v>74</v>
      </c>
      <c r="U186" t="s">
        <v>74</v>
      </c>
      <c r="V186" t="s">
        <v>74</v>
      </c>
      <c r="W186" t="s">
        <v>1598</v>
      </c>
      <c r="X186" t="s">
        <v>1599</v>
      </c>
      <c r="Y186" t="s">
        <v>74</v>
      </c>
      <c r="Z186" t="s">
        <v>1600</v>
      </c>
      <c r="AA186" t="s">
        <v>74</v>
      </c>
      <c r="AB186" t="s">
        <v>74</v>
      </c>
      <c r="AC186" t="s">
        <v>74</v>
      </c>
      <c r="AD186" t="s">
        <v>74</v>
      </c>
      <c r="AE186" t="s">
        <v>74</v>
      </c>
      <c r="AF186" t="s">
        <v>74</v>
      </c>
      <c r="AG186">
        <v>5</v>
      </c>
      <c r="AH186">
        <v>2</v>
      </c>
      <c r="AI186">
        <v>2</v>
      </c>
      <c r="AJ186">
        <v>0</v>
      </c>
      <c r="AK186">
        <v>0</v>
      </c>
      <c r="AL186" t="s">
        <v>88</v>
      </c>
      <c r="AM186" t="s">
        <v>89</v>
      </c>
      <c r="AN186" t="s">
        <v>90</v>
      </c>
      <c r="AO186" t="s">
        <v>91</v>
      </c>
      <c r="AP186" t="s">
        <v>92</v>
      </c>
      <c r="AQ186" t="s">
        <v>74</v>
      </c>
      <c r="AR186" t="s">
        <v>93</v>
      </c>
      <c r="AS186" t="s">
        <v>94</v>
      </c>
      <c r="AT186" t="s">
        <v>95</v>
      </c>
      <c r="AU186">
        <v>2008</v>
      </c>
      <c r="AV186">
        <v>43</v>
      </c>
      <c r="AW186">
        <v>7</v>
      </c>
      <c r="AX186" t="s">
        <v>74</v>
      </c>
      <c r="AY186" t="s">
        <v>96</v>
      </c>
      <c r="AZ186" t="s">
        <v>74</v>
      </c>
      <c r="BA186" t="s">
        <v>74</v>
      </c>
      <c r="BB186" t="s">
        <v>1601</v>
      </c>
      <c r="BC186" t="s">
        <v>1601</v>
      </c>
      <c r="BD186" t="s">
        <v>74</v>
      </c>
      <c r="BE186" t="s">
        <v>74</v>
      </c>
      <c r="BF186" t="s">
        <v>74</v>
      </c>
      <c r="BG186" t="s">
        <v>74</v>
      </c>
      <c r="BH186" t="s">
        <v>74</v>
      </c>
      <c r="BI186">
        <v>1</v>
      </c>
      <c r="BJ186" t="s">
        <v>98</v>
      </c>
      <c r="BK186" t="s">
        <v>99</v>
      </c>
      <c r="BL186" t="s">
        <v>98</v>
      </c>
      <c r="BM186" t="s">
        <v>100</v>
      </c>
      <c r="BN186" t="s">
        <v>74</v>
      </c>
      <c r="BO186" t="s">
        <v>74</v>
      </c>
      <c r="BP186" t="s">
        <v>74</v>
      </c>
      <c r="BQ186" t="s">
        <v>74</v>
      </c>
      <c r="BR186" t="s">
        <v>101</v>
      </c>
      <c r="BS186" t="s">
        <v>1602</v>
      </c>
      <c r="BT186" t="str">
        <f>HYPERLINK("https%3A%2F%2Fwww.webofscience.com%2Fwos%2Fwoscc%2Ffull-record%2FWOS:000257683100199","View Full Record in Web of Science")</f>
        <v>View Full Record in Web of Science</v>
      </c>
    </row>
    <row r="187" spans="1:72" x14ac:dyDescent="0.15">
      <c r="A187" t="s">
        <v>72</v>
      </c>
      <c r="B187" t="s">
        <v>1603</v>
      </c>
      <c r="C187" t="s">
        <v>74</v>
      </c>
      <c r="D187" t="s">
        <v>74</v>
      </c>
      <c r="E187" t="s">
        <v>74</v>
      </c>
      <c r="F187" t="s">
        <v>1604</v>
      </c>
      <c r="G187" t="s">
        <v>74</v>
      </c>
      <c r="H187" t="s">
        <v>74</v>
      </c>
      <c r="I187" t="s">
        <v>1605</v>
      </c>
      <c r="J187" t="s">
        <v>77</v>
      </c>
      <c r="K187" t="s">
        <v>74</v>
      </c>
      <c r="L187" t="s">
        <v>74</v>
      </c>
      <c r="M187" t="s">
        <v>78</v>
      </c>
      <c r="N187" t="s">
        <v>52</v>
      </c>
      <c r="O187" t="s">
        <v>79</v>
      </c>
      <c r="P187" t="s">
        <v>80</v>
      </c>
      <c r="Q187" t="s">
        <v>81</v>
      </c>
      <c r="R187" t="s">
        <v>74</v>
      </c>
      <c r="S187" t="s">
        <v>82</v>
      </c>
      <c r="T187" t="s">
        <v>74</v>
      </c>
      <c r="U187" t="s">
        <v>74</v>
      </c>
      <c r="V187" t="s">
        <v>74</v>
      </c>
      <c r="W187" t="s">
        <v>1606</v>
      </c>
      <c r="X187" t="s">
        <v>1028</v>
      </c>
      <c r="Y187" t="s">
        <v>74</v>
      </c>
      <c r="Z187" t="s">
        <v>1607</v>
      </c>
      <c r="AA187" t="s">
        <v>74</v>
      </c>
      <c r="AB187" t="s">
        <v>74</v>
      </c>
      <c r="AC187" t="s">
        <v>74</v>
      </c>
      <c r="AD187" t="s">
        <v>74</v>
      </c>
      <c r="AE187" t="s">
        <v>74</v>
      </c>
      <c r="AF187" t="s">
        <v>74</v>
      </c>
      <c r="AG187">
        <v>3</v>
      </c>
      <c r="AH187">
        <v>0</v>
      </c>
      <c r="AI187">
        <v>0</v>
      </c>
      <c r="AJ187">
        <v>0</v>
      </c>
      <c r="AK187">
        <v>0</v>
      </c>
      <c r="AL187" t="s">
        <v>109</v>
      </c>
      <c r="AM187" t="s">
        <v>110</v>
      </c>
      <c r="AN187" t="s">
        <v>111</v>
      </c>
      <c r="AO187" t="s">
        <v>91</v>
      </c>
      <c r="AP187" t="s">
        <v>74</v>
      </c>
      <c r="AQ187" t="s">
        <v>74</v>
      </c>
      <c r="AR187" t="s">
        <v>93</v>
      </c>
      <c r="AS187" t="s">
        <v>94</v>
      </c>
      <c r="AT187" t="s">
        <v>95</v>
      </c>
      <c r="AU187">
        <v>2008</v>
      </c>
      <c r="AV187">
        <v>43</v>
      </c>
      <c r="AW187">
        <v>7</v>
      </c>
      <c r="AX187" t="s">
        <v>74</v>
      </c>
      <c r="AY187" t="s">
        <v>96</v>
      </c>
      <c r="AZ187" t="s">
        <v>74</v>
      </c>
      <c r="BA187" t="s">
        <v>74</v>
      </c>
      <c r="BB187" t="s">
        <v>1601</v>
      </c>
      <c r="BC187" t="s">
        <v>1601</v>
      </c>
      <c r="BD187" t="s">
        <v>74</v>
      </c>
      <c r="BE187" t="s">
        <v>74</v>
      </c>
      <c r="BF187" t="s">
        <v>74</v>
      </c>
      <c r="BG187" t="s">
        <v>74</v>
      </c>
      <c r="BH187" t="s">
        <v>74</v>
      </c>
      <c r="BI187">
        <v>1</v>
      </c>
      <c r="BJ187" t="s">
        <v>98</v>
      </c>
      <c r="BK187" t="s">
        <v>113</v>
      </c>
      <c r="BL187" t="s">
        <v>98</v>
      </c>
      <c r="BM187" t="s">
        <v>100</v>
      </c>
      <c r="BN187" t="s">
        <v>74</v>
      </c>
      <c r="BO187" t="s">
        <v>74</v>
      </c>
      <c r="BP187" t="s">
        <v>74</v>
      </c>
      <c r="BQ187" t="s">
        <v>74</v>
      </c>
      <c r="BR187" t="s">
        <v>101</v>
      </c>
      <c r="BS187" t="s">
        <v>1608</v>
      </c>
      <c r="BT187" t="str">
        <f>HYPERLINK("https%3A%2F%2Fwww.webofscience.com%2Fwos%2Fwoscc%2Ffull-record%2FWOS:000257683100200","View Full Record in Web of Science")</f>
        <v>View Full Record in Web of Science</v>
      </c>
    </row>
    <row r="188" spans="1:72" x14ac:dyDescent="0.15">
      <c r="A188" t="s">
        <v>72</v>
      </c>
      <c r="B188" t="s">
        <v>1609</v>
      </c>
      <c r="C188" t="s">
        <v>74</v>
      </c>
      <c r="D188" t="s">
        <v>74</v>
      </c>
      <c r="E188" t="s">
        <v>74</v>
      </c>
      <c r="F188" t="s">
        <v>1610</v>
      </c>
      <c r="G188" t="s">
        <v>74</v>
      </c>
      <c r="H188" t="s">
        <v>74</v>
      </c>
      <c r="I188" t="s">
        <v>1611</v>
      </c>
      <c r="J188" t="s">
        <v>77</v>
      </c>
      <c r="K188" t="s">
        <v>74</v>
      </c>
      <c r="L188" t="s">
        <v>74</v>
      </c>
      <c r="M188" t="s">
        <v>78</v>
      </c>
      <c r="N188" t="s">
        <v>52</v>
      </c>
      <c r="O188" t="s">
        <v>79</v>
      </c>
      <c r="P188" t="s">
        <v>80</v>
      </c>
      <c r="Q188" t="s">
        <v>81</v>
      </c>
      <c r="R188" t="s">
        <v>74</v>
      </c>
      <c r="S188" t="s">
        <v>82</v>
      </c>
      <c r="T188" t="s">
        <v>74</v>
      </c>
      <c r="U188" t="s">
        <v>1612</v>
      </c>
      <c r="V188" t="s">
        <v>74</v>
      </c>
      <c r="W188" t="s">
        <v>1613</v>
      </c>
      <c r="X188" t="s">
        <v>1614</v>
      </c>
      <c r="Y188" t="s">
        <v>74</v>
      </c>
      <c r="Z188" t="s">
        <v>1615</v>
      </c>
      <c r="AA188" t="s">
        <v>74</v>
      </c>
      <c r="AB188" t="s">
        <v>74</v>
      </c>
      <c r="AC188" t="s">
        <v>74</v>
      </c>
      <c r="AD188" t="s">
        <v>74</v>
      </c>
      <c r="AE188" t="s">
        <v>74</v>
      </c>
      <c r="AF188" t="s">
        <v>74</v>
      </c>
      <c r="AG188">
        <v>10</v>
      </c>
      <c r="AH188">
        <v>1</v>
      </c>
      <c r="AI188">
        <v>1</v>
      </c>
      <c r="AJ188">
        <v>0</v>
      </c>
      <c r="AK188">
        <v>2</v>
      </c>
      <c r="AL188" t="s">
        <v>88</v>
      </c>
      <c r="AM188" t="s">
        <v>89</v>
      </c>
      <c r="AN188" t="s">
        <v>90</v>
      </c>
      <c r="AO188" t="s">
        <v>91</v>
      </c>
      <c r="AP188" t="s">
        <v>92</v>
      </c>
      <c r="AQ188" t="s">
        <v>74</v>
      </c>
      <c r="AR188" t="s">
        <v>93</v>
      </c>
      <c r="AS188" t="s">
        <v>94</v>
      </c>
      <c r="AT188" t="s">
        <v>95</v>
      </c>
      <c r="AU188">
        <v>2008</v>
      </c>
      <c r="AV188">
        <v>43</v>
      </c>
      <c r="AW188">
        <v>7</v>
      </c>
      <c r="AX188" t="s">
        <v>74</v>
      </c>
      <c r="AY188" t="s">
        <v>96</v>
      </c>
      <c r="AZ188" t="s">
        <v>74</v>
      </c>
      <c r="BA188" t="s">
        <v>74</v>
      </c>
      <c r="BB188" t="s">
        <v>1616</v>
      </c>
      <c r="BC188" t="s">
        <v>1616</v>
      </c>
      <c r="BD188" t="s">
        <v>74</v>
      </c>
      <c r="BE188" t="s">
        <v>74</v>
      </c>
      <c r="BF188" t="s">
        <v>74</v>
      </c>
      <c r="BG188" t="s">
        <v>74</v>
      </c>
      <c r="BH188" t="s">
        <v>74</v>
      </c>
      <c r="BI188">
        <v>1</v>
      </c>
      <c r="BJ188" t="s">
        <v>98</v>
      </c>
      <c r="BK188" t="s">
        <v>99</v>
      </c>
      <c r="BL188" t="s">
        <v>98</v>
      </c>
      <c r="BM188" t="s">
        <v>100</v>
      </c>
      <c r="BN188" t="s">
        <v>74</v>
      </c>
      <c r="BO188" t="s">
        <v>74</v>
      </c>
      <c r="BP188" t="s">
        <v>74</v>
      </c>
      <c r="BQ188" t="s">
        <v>74</v>
      </c>
      <c r="BR188" t="s">
        <v>101</v>
      </c>
      <c r="BS188" t="s">
        <v>1617</v>
      </c>
      <c r="BT188" t="str">
        <f>HYPERLINK("https%3A%2F%2Fwww.webofscience.com%2Fwos%2Fwoscc%2Ffull-record%2FWOS:000257683100202","View Full Record in Web of Science")</f>
        <v>View Full Record in Web of Science</v>
      </c>
    </row>
    <row r="189" spans="1:72" x14ac:dyDescent="0.15">
      <c r="A189" t="s">
        <v>72</v>
      </c>
      <c r="B189" t="s">
        <v>1618</v>
      </c>
      <c r="C189" t="s">
        <v>74</v>
      </c>
      <c r="D189" t="s">
        <v>74</v>
      </c>
      <c r="E189" t="s">
        <v>74</v>
      </c>
      <c r="F189" t="s">
        <v>1619</v>
      </c>
      <c r="G189" t="s">
        <v>74</v>
      </c>
      <c r="H189" t="s">
        <v>74</v>
      </c>
      <c r="I189" t="s">
        <v>1620</v>
      </c>
      <c r="J189" t="s">
        <v>77</v>
      </c>
      <c r="K189" t="s">
        <v>74</v>
      </c>
      <c r="L189" t="s">
        <v>74</v>
      </c>
      <c r="M189" t="s">
        <v>78</v>
      </c>
      <c r="N189" t="s">
        <v>52</v>
      </c>
      <c r="O189" t="s">
        <v>79</v>
      </c>
      <c r="P189" t="s">
        <v>80</v>
      </c>
      <c r="Q189" t="s">
        <v>81</v>
      </c>
      <c r="R189" t="s">
        <v>74</v>
      </c>
      <c r="S189" t="s">
        <v>82</v>
      </c>
      <c r="T189" t="s">
        <v>74</v>
      </c>
      <c r="U189" t="s">
        <v>74</v>
      </c>
      <c r="V189" t="s">
        <v>74</v>
      </c>
      <c r="W189" t="s">
        <v>1621</v>
      </c>
      <c r="X189" t="s">
        <v>1131</v>
      </c>
      <c r="Y189" t="s">
        <v>74</v>
      </c>
      <c r="Z189" t="s">
        <v>1615</v>
      </c>
      <c r="AA189" t="s">
        <v>74</v>
      </c>
      <c r="AB189" t="s">
        <v>74</v>
      </c>
      <c r="AC189" t="s">
        <v>74</v>
      </c>
      <c r="AD189" t="s">
        <v>74</v>
      </c>
      <c r="AE189" t="s">
        <v>74</v>
      </c>
      <c r="AF189" t="s">
        <v>74</v>
      </c>
      <c r="AG189">
        <v>1</v>
      </c>
      <c r="AH189">
        <v>0</v>
      </c>
      <c r="AI189">
        <v>0</v>
      </c>
      <c r="AJ189">
        <v>0</v>
      </c>
      <c r="AK189">
        <v>0</v>
      </c>
      <c r="AL189" t="s">
        <v>88</v>
      </c>
      <c r="AM189" t="s">
        <v>89</v>
      </c>
      <c r="AN189" t="s">
        <v>90</v>
      </c>
      <c r="AO189" t="s">
        <v>91</v>
      </c>
      <c r="AP189" t="s">
        <v>92</v>
      </c>
      <c r="AQ189" t="s">
        <v>74</v>
      </c>
      <c r="AR189" t="s">
        <v>93</v>
      </c>
      <c r="AS189" t="s">
        <v>94</v>
      </c>
      <c r="AT189" t="s">
        <v>95</v>
      </c>
      <c r="AU189">
        <v>2008</v>
      </c>
      <c r="AV189">
        <v>43</v>
      </c>
      <c r="AW189">
        <v>7</v>
      </c>
      <c r="AX189" t="s">
        <v>74</v>
      </c>
      <c r="AY189" t="s">
        <v>96</v>
      </c>
      <c r="AZ189" t="s">
        <v>74</v>
      </c>
      <c r="BA189" t="s">
        <v>74</v>
      </c>
      <c r="BB189" t="s">
        <v>1616</v>
      </c>
      <c r="BC189" t="s">
        <v>1616</v>
      </c>
      <c r="BD189" t="s">
        <v>74</v>
      </c>
      <c r="BE189" t="s">
        <v>74</v>
      </c>
      <c r="BF189" t="s">
        <v>74</v>
      </c>
      <c r="BG189" t="s">
        <v>74</v>
      </c>
      <c r="BH189" t="s">
        <v>74</v>
      </c>
      <c r="BI189">
        <v>1</v>
      </c>
      <c r="BJ189" t="s">
        <v>98</v>
      </c>
      <c r="BK189" t="s">
        <v>99</v>
      </c>
      <c r="BL189" t="s">
        <v>98</v>
      </c>
      <c r="BM189" t="s">
        <v>100</v>
      </c>
      <c r="BN189" t="s">
        <v>74</v>
      </c>
      <c r="BO189" t="s">
        <v>74</v>
      </c>
      <c r="BP189" t="s">
        <v>74</v>
      </c>
      <c r="BQ189" t="s">
        <v>74</v>
      </c>
      <c r="BR189" t="s">
        <v>101</v>
      </c>
      <c r="BS189" t="s">
        <v>1622</v>
      </c>
      <c r="BT189" t="str">
        <f>HYPERLINK("https%3A%2F%2Fwww.webofscience.com%2Fwos%2Fwoscc%2Ffull-record%2FWOS:000257683100201","View Full Record in Web of Science")</f>
        <v>View Full Record in Web of Science</v>
      </c>
    </row>
    <row r="190" spans="1:72" x14ac:dyDescent="0.15">
      <c r="A190" t="s">
        <v>72</v>
      </c>
      <c r="B190" t="s">
        <v>1623</v>
      </c>
      <c r="C190" t="s">
        <v>74</v>
      </c>
      <c r="D190" t="s">
        <v>74</v>
      </c>
      <c r="E190" t="s">
        <v>74</v>
      </c>
      <c r="F190" t="s">
        <v>1624</v>
      </c>
      <c r="G190" t="s">
        <v>74</v>
      </c>
      <c r="H190" t="s">
        <v>74</v>
      </c>
      <c r="I190" t="s">
        <v>1625</v>
      </c>
      <c r="J190" t="s">
        <v>77</v>
      </c>
      <c r="K190" t="s">
        <v>74</v>
      </c>
      <c r="L190" t="s">
        <v>74</v>
      </c>
      <c r="M190" t="s">
        <v>78</v>
      </c>
      <c r="N190" t="s">
        <v>52</v>
      </c>
      <c r="O190" t="s">
        <v>79</v>
      </c>
      <c r="P190" t="s">
        <v>80</v>
      </c>
      <c r="Q190" t="s">
        <v>81</v>
      </c>
      <c r="R190" t="s">
        <v>74</v>
      </c>
      <c r="S190" t="s">
        <v>82</v>
      </c>
      <c r="T190" t="s">
        <v>74</v>
      </c>
      <c r="U190" t="s">
        <v>74</v>
      </c>
      <c r="V190" t="s">
        <v>74</v>
      </c>
      <c r="W190" t="s">
        <v>1626</v>
      </c>
      <c r="X190" t="s">
        <v>1585</v>
      </c>
      <c r="Y190" t="s">
        <v>74</v>
      </c>
      <c r="Z190" t="s">
        <v>1627</v>
      </c>
      <c r="AA190" t="s">
        <v>74</v>
      </c>
      <c r="AB190" t="s">
        <v>74</v>
      </c>
      <c r="AC190" t="s">
        <v>74</v>
      </c>
      <c r="AD190" t="s">
        <v>74</v>
      </c>
      <c r="AE190" t="s">
        <v>74</v>
      </c>
      <c r="AF190" t="s">
        <v>74</v>
      </c>
      <c r="AG190">
        <v>3</v>
      </c>
      <c r="AH190">
        <v>1</v>
      </c>
      <c r="AI190">
        <v>1</v>
      </c>
      <c r="AJ190">
        <v>0</v>
      </c>
      <c r="AK190">
        <v>0</v>
      </c>
      <c r="AL190" t="s">
        <v>88</v>
      </c>
      <c r="AM190" t="s">
        <v>89</v>
      </c>
      <c r="AN190" t="s">
        <v>90</v>
      </c>
      <c r="AO190" t="s">
        <v>91</v>
      </c>
      <c r="AP190" t="s">
        <v>92</v>
      </c>
      <c r="AQ190" t="s">
        <v>74</v>
      </c>
      <c r="AR190" t="s">
        <v>93</v>
      </c>
      <c r="AS190" t="s">
        <v>94</v>
      </c>
      <c r="AT190" t="s">
        <v>95</v>
      </c>
      <c r="AU190">
        <v>2008</v>
      </c>
      <c r="AV190">
        <v>43</v>
      </c>
      <c r="AW190">
        <v>7</v>
      </c>
      <c r="AX190" t="s">
        <v>74</v>
      </c>
      <c r="AY190" t="s">
        <v>96</v>
      </c>
      <c r="AZ190" t="s">
        <v>74</v>
      </c>
      <c r="BA190" t="s">
        <v>74</v>
      </c>
      <c r="BB190" t="s">
        <v>1628</v>
      </c>
      <c r="BC190" t="s">
        <v>1628</v>
      </c>
      <c r="BD190" t="s">
        <v>74</v>
      </c>
      <c r="BE190" t="s">
        <v>74</v>
      </c>
      <c r="BF190" t="s">
        <v>74</v>
      </c>
      <c r="BG190" t="s">
        <v>74</v>
      </c>
      <c r="BH190" t="s">
        <v>74</v>
      </c>
      <c r="BI190">
        <v>1</v>
      </c>
      <c r="BJ190" t="s">
        <v>98</v>
      </c>
      <c r="BK190" t="s">
        <v>99</v>
      </c>
      <c r="BL190" t="s">
        <v>98</v>
      </c>
      <c r="BM190" t="s">
        <v>100</v>
      </c>
      <c r="BN190" t="s">
        <v>74</v>
      </c>
      <c r="BO190" t="s">
        <v>74</v>
      </c>
      <c r="BP190" t="s">
        <v>74</v>
      </c>
      <c r="BQ190" t="s">
        <v>74</v>
      </c>
      <c r="BR190" t="s">
        <v>101</v>
      </c>
      <c r="BS190" t="s">
        <v>1629</v>
      </c>
      <c r="BT190" t="str">
        <f>HYPERLINK("https%3A%2F%2Fwww.webofscience.com%2Fwos%2Fwoscc%2Ffull-record%2FWOS:000257683100203","View Full Record in Web of Science")</f>
        <v>View Full Record in Web of Science</v>
      </c>
    </row>
    <row r="191" spans="1:72" x14ac:dyDescent="0.15">
      <c r="A191" t="s">
        <v>72</v>
      </c>
      <c r="B191" t="s">
        <v>1630</v>
      </c>
      <c r="C191" t="s">
        <v>74</v>
      </c>
      <c r="D191" t="s">
        <v>74</v>
      </c>
      <c r="E191" t="s">
        <v>74</v>
      </c>
      <c r="F191" t="s">
        <v>1631</v>
      </c>
      <c r="G191" t="s">
        <v>74</v>
      </c>
      <c r="H191" t="s">
        <v>74</v>
      </c>
      <c r="I191" t="s">
        <v>1632</v>
      </c>
      <c r="J191" t="s">
        <v>77</v>
      </c>
      <c r="K191" t="s">
        <v>74</v>
      </c>
      <c r="L191" t="s">
        <v>74</v>
      </c>
      <c r="M191" t="s">
        <v>78</v>
      </c>
      <c r="N191" t="s">
        <v>52</v>
      </c>
      <c r="O191" t="s">
        <v>79</v>
      </c>
      <c r="P191" t="s">
        <v>80</v>
      </c>
      <c r="Q191" t="s">
        <v>81</v>
      </c>
      <c r="R191" t="s">
        <v>74</v>
      </c>
      <c r="S191" t="s">
        <v>82</v>
      </c>
      <c r="T191" t="s">
        <v>74</v>
      </c>
      <c r="U191" t="s">
        <v>74</v>
      </c>
      <c r="V191" t="s">
        <v>74</v>
      </c>
      <c r="W191" t="s">
        <v>1633</v>
      </c>
      <c r="X191" t="s">
        <v>936</v>
      </c>
      <c r="Y191" t="s">
        <v>74</v>
      </c>
      <c r="Z191" t="s">
        <v>1634</v>
      </c>
      <c r="AA191" t="s">
        <v>938</v>
      </c>
      <c r="AB191" t="s">
        <v>74</v>
      </c>
      <c r="AC191" t="s">
        <v>74</v>
      </c>
      <c r="AD191" t="s">
        <v>74</v>
      </c>
      <c r="AE191" t="s">
        <v>74</v>
      </c>
      <c r="AF191" t="s">
        <v>74</v>
      </c>
      <c r="AG191">
        <v>1</v>
      </c>
      <c r="AH191">
        <v>0</v>
      </c>
      <c r="AI191">
        <v>0</v>
      </c>
      <c r="AJ191">
        <v>0</v>
      </c>
      <c r="AK191">
        <v>0</v>
      </c>
      <c r="AL191" t="s">
        <v>149</v>
      </c>
      <c r="AM191" t="s">
        <v>89</v>
      </c>
      <c r="AN191" t="s">
        <v>90</v>
      </c>
      <c r="AO191" t="s">
        <v>91</v>
      </c>
      <c r="AP191" t="s">
        <v>74</v>
      </c>
      <c r="AQ191" t="s">
        <v>74</v>
      </c>
      <c r="AR191" t="s">
        <v>93</v>
      </c>
      <c r="AS191" t="s">
        <v>94</v>
      </c>
      <c r="AT191" t="s">
        <v>95</v>
      </c>
      <c r="AU191">
        <v>2008</v>
      </c>
      <c r="AV191">
        <v>43</v>
      </c>
      <c r="AW191">
        <v>7</v>
      </c>
      <c r="AX191" t="s">
        <v>74</v>
      </c>
      <c r="AY191" t="s">
        <v>96</v>
      </c>
      <c r="AZ191" t="s">
        <v>74</v>
      </c>
      <c r="BA191" t="s">
        <v>74</v>
      </c>
      <c r="BB191" t="s">
        <v>1628</v>
      </c>
      <c r="BC191" t="s">
        <v>1628</v>
      </c>
      <c r="BD191" t="s">
        <v>74</v>
      </c>
      <c r="BE191" t="s">
        <v>74</v>
      </c>
      <c r="BF191" t="s">
        <v>74</v>
      </c>
      <c r="BG191" t="s">
        <v>74</v>
      </c>
      <c r="BH191" t="s">
        <v>74</v>
      </c>
      <c r="BI191">
        <v>1</v>
      </c>
      <c r="BJ191" t="s">
        <v>98</v>
      </c>
      <c r="BK191" t="s">
        <v>99</v>
      </c>
      <c r="BL191" t="s">
        <v>98</v>
      </c>
      <c r="BM191" t="s">
        <v>100</v>
      </c>
      <c r="BN191" t="s">
        <v>74</v>
      </c>
      <c r="BO191" t="s">
        <v>74</v>
      </c>
      <c r="BP191" t="s">
        <v>74</v>
      </c>
      <c r="BQ191" t="s">
        <v>74</v>
      </c>
      <c r="BR191" t="s">
        <v>101</v>
      </c>
      <c r="BS191" t="s">
        <v>1635</v>
      </c>
      <c r="BT191" t="str">
        <f>HYPERLINK("https%3A%2F%2Fwww.webofscience.com%2Fwos%2Fwoscc%2Ffull-record%2FWOS:000257683100204","View Full Record in Web of Science")</f>
        <v>View Full Record in Web of Science</v>
      </c>
    </row>
    <row r="192" spans="1:72" x14ac:dyDescent="0.15">
      <c r="A192" t="s">
        <v>72</v>
      </c>
      <c r="B192" t="s">
        <v>1636</v>
      </c>
      <c r="C192" t="s">
        <v>74</v>
      </c>
      <c r="D192" t="s">
        <v>74</v>
      </c>
      <c r="E192" t="s">
        <v>74</v>
      </c>
      <c r="F192" t="s">
        <v>1637</v>
      </c>
      <c r="G192" t="s">
        <v>74</v>
      </c>
      <c r="H192" t="s">
        <v>1638</v>
      </c>
      <c r="I192" t="s">
        <v>1639</v>
      </c>
      <c r="J192" t="s">
        <v>77</v>
      </c>
      <c r="K192" t="s">
        <v>74</v>
      </c>
      <c r="L192" t="s">
        <v>74</v>
      </c>
      <c r="M192" t="s">
        <v>78</v>
      </c>
      <c r="N192" t="s">
        <v>52</v>
      </c>
      <c r="O192" t="s">
        <v>79</v>
      </c>
      <c r="P192" t="s">
        <v>80</v>
      </c>
      <c r="Q192" t="s">
        <v>81</v>
      </c>
      <c r="R192" t="s">
        <v>74</v>
      </c>
      <c r="S192" t="s">
        <v>82</v>
      </c>
      <c r="T192" t="s">
        <v>74</v>
      </c>
      <c r="U192" t="s">
        <v>74</v>
      </c>
      <c r="V192" t="s">
        <v>74</v>
      </c>
      <c r="W192" t="s">
        <v>1640</v>
      </c>
      <c r="X192" t="s">
        <v>1028</v>
      </c>
      <c r="Y192" t="s">
        <v>74</v>
      </c>
      <c r="Z192" t="s">
        <v>74</v>
      </c>
      <c r="AA192" t="s">
        <v>74</v>
      </c>
      <c r="AB192" t="s">
        <v>74</v>
      </c>
      <c r="AC192" t="s">
        <v>74</v>
      </c>
      <c r="AD192" t="s">
        <v>74</v>
      </c>
      <c r="AE192" t="s">
        <v>74</v>
      </c>
      <c r="AF192" t="s">
        <v>74</v>
      </c>
      <c r="AG192">
        <v>7</v>
      </c>
      <c r="AH192">
        <v>1</v>
      </c>
      <c r="AI192">
        <v>1</v>
      </c>
      <c r="AJ192">
        <v>0</v>
      </c>
      <c r="AK192">
        <v>1</v>
      </c>
      <c r="AL192" t="s">
        <v>149</v>
      </c>
      <c r="AM192" t="s">
        <v>89</v>
      </c>
      <c r="AN192" t="s">
        <v>90</v>
      </c>
      <c r="AO192" t="s">
        <v>91</v>
      </c>
      <c r="AP192" t="s">
        <v>74</v>
      </c>
      <c r="AQ192" t="s">
        <v>74</v>
      </c>
      <c r="AR192" t="s">
        <v>93</v>
      </c>
      <c r="AS192" t="s">
        <v>94</v>
      </c>
      <c r="AT192" t="s">
        <v>95</v>
      </c>
      <c r="AU192">
        <v>2008</v>
      </c>
      <c r="AV192">
        <v>43</v>
      </c>
      <c r="AW192">
        <v>7</v>
      </c>
      <c r="AX192" t="s">
        <v>74</v>
      </c>
      <c r="AY192" t="s">
        <v>96</v>
      </c>
      <c r="AZ192" t="s">
        <v>74</v>
      </c>
      <c r="BA192" t="s">
        <v>74</v>
      </c>
      <c r="BB192" t="s">
        <v>1641</v>
      </c>
      <c r="BC192" t="s">
        <v>1641</v>
      </c>
      <c r="BD192" t="s">
        <v>74</v>
      </c>
      <c r="BE192" t="s">
        <v>74</v>
      </c>
      <c r="BF192" t="s">
        <v>74</v>
      </c>
      <c r="BG192" t="s">
        <v>74</v>
      </c>
      <c r="BH192" t="s">
        <v>74</v>
      </c>
      <c r="BI192">
        <v>1</v>
      </c>
      <c r="BJ192" t="s">
        <v>98</v>
      </c>
      <c r="BK192" t="s">
        <v>99</v>
      </c>
      <c r="BL192" t="s">
        <v>98</v>
      </c>
      <c r="BM192" t="s">
        <v>100</v>
      </c>
      <c r="BN192" t="s">
        <v>74</v>
      </c>
      <c r="BO192" t="s">
        <v>74</v>
      </c>
      <c r="BP192" t="s">
        <v>74</v>
      </c>
      <c r="BQ192" t="s">
        <v>74</v>
      </c>
      <c r="BR192" t="s">
        <v>101</v>
      </c>
      <c r="BS192" t="s">
        <v>1642</v>
      </c>
      <c r="BT192" t="str">
        <f>HYPERLINK("https%3A%2F%2Fwww.webofscience.com%2Fwos%2Fwoscc%2Ffull-record%2FWOS:000257683100205","View Full Record in Web of Science")</f>
        <v>View Full Record in Web of Science</v>
      </c>
    </row>
    <row r="193" spans="1:72" x14ac:dyDescent="0.15">
      <c r="A193" t="s">
        <v>72</v>
      </c>
      <c r="B193" t="s">
        <v>1643</v>
      </c>
      <c r="C193" t="s">
        <v>74</v>
      </c>
      <c r="D193" t="s">
        <v>74</v>
      </c>
      <c r="E193" t="s">
        <v>74</v>
      </c>
      <c r="F193" t="s">
        <v>1644</v>
      </c>
      <c r="G193" t="s">
        <v>74</v>
      </c>
      <c r="H193" t="s">
        <v>74</v>
      </c>
      <c r="I193" t="s">
        <v>1645</v>
      </c>
      <c r="J193" t="s">
        <v>77</v>
      </c>
      <c r="K193" t="s">
        <v>74</v>
      </c>
      <c r="L193" t="s">
        <v>74</v>
      </c>
      <c r="M193" t="s">
        <v>78</v>
      </c>
      <c r="N193" t="s">
        <v>52</v>
      </c>
      <c r="O193" t="s">
        <v>79</v>
      </c>
      <c r="P193" t="s">
        <v>80</v>
      </c>
      <c r="Q193" t="s">
        <v>81</v>
      </c>
      <c r="R193" t="s">
        <v>74</v>
      </c>
      <c r="S193" t="s">
        <v>82</v>
      </c>
      <c r="T193" t="s">
        <v>74</v>
      </c>
      <c r="U193" t="s">
        <v>74</v>
      </c>
      <c r="V193" t="s">
        <v>74</v>
      </c>
      <c r="W193" t="s">
        <v>1646</v>
      </c>
      <c r="X193" t="s">
        <v>1647</v>
      </c>
      <c r="Y193" t="s">
        <v>74</v>
      </c>
      <c r="Z193" t="s">
        <v>1648</v>
      </c>
      <c r="AA193" t="s">
        <v>74</v>
      </c>
      <c r="AB193" t="s">
        <v>74</v>
      </c>
      <c r="AC193" t="s">
        <v>74</v>
      </c>
      <c r="AD193" t="s">
        <v>74</v>
      </c>
      <c r="AE193" t="s">
        <v>74</v>
      </c>
      <c r="AF193" t="s">
        <v>74</v>
      </c>
      <c r="AG193">
        <v>0</v>
      </c>
      <c r="AH193">
        <v>0</v>
      </c>
      <c r="AI193">
        <v>0</v>
      </c>
      <c r="AJ193">
        <v>0</v>
      </c>
      <c r="AK193">
        <v>0</v>
      </c>
      <c r="AL193" t="s">
        <v>109</v>
      </c>
      <c r="AM193" t="s">
        <v>110</v>
      </c>
      <c r="AN193" t="s">
        <v>111</v>
      </c>
      <c r="AO193" t="s">
        <v>91</v>
      </c>
      <c r="AP193" t="s">
        <v>74</v>
      </c>
      <c r="AQ193" t="s">
        <v>74</v>
      </c>
      <c r="AR193" t="s">
        <v>93</v>
      </c>
      <c r="AS193" t="s">
        <v>94</v>
      </c>
      <c r="AT193" t="s">
        <v>95</v>
      </c>
      <c r="AU193">
        <v>2008</v>
      </c>
      <c r="AV193">
        <v>43</v>
      </c>
      <c r="AW193">
        <v>7</v>
      </c>
      <c r="AX193" t="s">
        <v>74</v>
      </c>
      <c r="AY193" t="s">
        <v>96</v>
      </c>
      <c r="AZ193" t="s">
        <v>74</v>
      </c>
      <c r="BA193" t="s">
        <v>74</v>
      </c>
      <c r="BB193" t="s">
        <v>1649</v>
      </c>
      <c r="BC193" t="s">
        <v>1649</v>
      </c>
      <c r="BD193" t="s">
        <v>74</v>
      </c>
      <c r="BE193" t="s">
        <v>74</v>
      </c>
      <c r="BF193" t="s">
        <v>74</v>
      </c>
      <c r="BG193" t="s">
        <v>74</v>
      </c>
      <c r="BH193" t="s">
        <v>74</v>
      </c>
      <c r="BI193">
        <v>1</v>
      </c>
      <c r="BJ193" t="s">
        <v>98</v>
      </c>
      <c r="BK193" t="s">
        <v>113</v>
      </c>
      <c r="BL193" t="s">
        <v>98</v>
      </c>
      <c r="BM193" t="s">
        <v>100</v>
      </c>
      <c r="BN193" t="s">
        <v>74</v>
      </c>
      <c r="BO193" t="s">
        <v>74</v>
      </c>
      <c r="BP193" t="s">
        <v>74</v>
      </c>
      <c r="BQ193" t="s">
        <v>74</v>
      </c>
      <c r="BR193" t="s">
        <v>101</v>
      </c>
      <c r="BS193" t="s">
        <v>1650</v>
      </c>
      <c r="BT193" t="str">
        <f>HYPERLINK("https%3A%2F%2Fwww.webofscience.com%2Fwos%2Fwoscc%2Ffull-record%2FWOS:000257683100352","View Full Record in Web of Science")</f>
        <v>View Full Record in Web of Science</v>
      </c>
    </row>
    <row r="194" spans="1:72" x14ac:dyDescent="0.15">
      <c r="A194" t="s">
        <v>72</v>
      </c>
      <c r="B194" t="s">
        <v>1651</v>
      </c>
      <c r="C194" t="s">
        <v>74</v>
      </c>
      <c r="D194" t="s">
        <v>74</v>
      </c>
      <c r="E194" t="s">
        <v>74</v>
      </c>
      <c r="F194" t="s">
        <v>1652</v>
      </c>
      <c r="G194" t="s">
        <v>74</v>
      </c>
      <c r="H194" t="s">
        <v>74</v>
      </c>
      <c r="I194" t="s">
        <v>1653</v>
      </c>
      <c r="J194" t="s">
        <v>77</v>
      </c>
      <c r="K194" t="s">
        <v>74</v>
      </c>
      <c r="L194" t="s">
        <v>74</v>
      </c>
      <c r="M194" t="s">
        <v>78</v>
      </c>
      <c r="N194" t="s">
        <v>52</v>
      </c>
      <c r="O194" t="s">
        <v>79</v>
      </c>
      <c r="P194" t="s">
        <v>80</v>
      </c>
      <c r="Q194" t="s">
        <v>81</v>
      </c>
      <c r="R194" t="s">
        <v>74</v>
      </c>
      <c r="S194" t="s">
        <v>82</v>
      </c>
      <c r="T194" t="s">
        <v>74</v>
      </c>
      <c r="U194" t="s">
        <v>74</v>
      </c>
      <c r="V194" t="s">
        <v>74</v>
      </c>
      <c r="W194" t="s">
        <v>1654</v>
      </c>
      <c r="X194" t="s">
        <v>1655</v>
      </c>
      <c r="Y194" t="s">
        <v>74</v>
      </c>
      <c r="Z194" t="s">
        <v>74</v>
      </c>
      <c r="AA194" t="s">
        <v>1656</v>
      </c>
      <c r="AB194" t="s">
        <v>1657</v>
      </c>
      <c r="AC194" t="s">
        <v>1658</v>
      </c>
      <c r="AD194" t="s">
        <v>171</v>
      </c>
      <c r="AE194" t="s">
        <v>74</v>
      </c>
      <c r="AF194" t="s">
        <v>74</v>
      </c>
      <c r="AG194">
        <v>3</v>
      </c>
      <c r="AH194">
        <v>0</v>
      </c>
      <c r="AI194">
        <v>0</v>
      </c>
      <c r="AJ194">
        <v>0</v>
      </c>
      <c r="AK194">
        <v>0</v>
      </c>
      <c r="AL194" t="s">
        <v>109</v>
      </c>
      <c r="AM194" t="s">
        <v>110</v>
      </c>
      <c r="AN194" t="s">
        <v>111</v>
      </c>
      <c r="AO194" t="s">
        <v>91</v>
      </c>
      <c r="AP194" t="s">
        <v>74</v>
      </c>
      <c r="AQ194" t="s">
        <v>74</v>
      </c>
      <c r="AR194" t="s">
        <v>93</v>
      </c>
      <c r="AS194" t="s">
        <v>94</v>
      </c>
      <c r="AT194" t="s">
        <v>95</v>
      </c>
      <c r="AU194">
        <v>2008</v>
      </c>
      <c r="AV194">
        <v>43</v>
      </c>
      <c r="AW194">
        <v>7</v>
      </c>
      <c r="AX194" t="s">
        <v>74</v>
      </c>
      <c r="AY194" t="s">
        <v>96</v>
      </c>
      <c r="AZ194" t="s">
        <v>74</v>
      </c>
      <c r="BA194" t="s">
        <v>74</v>
      </c>
      <c r="BB194" t="s">
        <v>1641</v>
      </c>
      <c r="BC194" t="s">
        <v>1641</v>
      </c>
      <c r="BD194" t="s">
        <v>74</v>
      </c>
      <c r="BE194" t="s">
        <v>74</v>
      </c>
      <c r="BF194" t="s">
        <v>74</v>
      </c>
      <c r="BG194" t="s">
        <v>74</v>
      </c>
      <c r="BH194" t="s">
        <v>74</v>
      </c>
      <c r="BI194">
        <v>1</v>
      </c>
      <c r="BJ194" t="s">
        <v>98</v>
      </c>
      <c r="BK194" t="s">
        <v>113</v>
      </c>
      <c r="BL194" t="s">
        <v>98</v>
      </c>
      <c r="BM194" t="s">
        <v>100</v>
      </c>
      <c r="BN194" t="s">
        <v>74</v>
      </c>
      <c r="BO194" t="s">
        <v>74</v>
      </c>
      <c r="BP194" t="s">
        <v>74</v>
      </c>
      <c r="BQ194" t="s">
        <v>74</v>
      </c>
      <c r="BR194" t="s">
        <v>101</v>
      </c>
      <c r="BS194" t="s">
        <v>1659</v>
      </c>
      <c r="BT194" t="str">
        <f>HYPERLINK("https%3A%2F%2Fwww.webofscience.com%2Fwos%2Fwoscc%2Ffull-record%2FWOS:000257683100206","View Full Record in Web of Science")</f>
        <v>View Full Record in Web of Science</v>
      </c>
    </row>
    <row r="195" spans="1:72" x14ac:dyDescent="0.15">
      <c r="A195" t="s">
        <v>72</v>
      </c>
      <c r="B195" t="s">
        <v>1660</v>
      </c>
      <c r="C195" t="s">
        <v>74</v>
      </c>
      <c r="D195" t="s">
        <v>74</v>
      </c>
      <c r="E195" t="s">
        <v>74</v>
      </c>
      <c r="F195" t="s">
        <v>1661</v>
      </c>
      <c r="G195" t="s">
        <v>74</v>
      </c>
      <c r="H195" t="s">
        <v>74</v>
      </c>
      <c r="I195" t="s">
        <v>1662</v>
      </c>
      <c r="J195" t="s">
        <v>77</v>
      </c>
      <c r="K195" t="s">
        <v>74</v>
      </c>
      <c r="L195" t="s">
        <v>74</v>
      </c>
      <c r="M195" t="s">
        <v>78</v>
      </c>
      <c r="N195" t="s">
        <v>52</v>
      </c>
      <c r="O195" t="s">
        <v>79</v>
      </c>
      <c r="P195" t="s">
        <v>80</v>
      </c>
      <c r="Q195" t="s">
        <v>81</v>
      </c>
      <c r="R195" t="s">
        <v>74</v>
      </c>
      <c r="S195" t="s">
        <v>82</v>
      </c>
      <c r="T195" t="s">
        <v>74</v>
      </c>
      <c r="U195" t="s">
        <v>1663</v>
      </c>
      <c r="V195" t="s">
        <v>74</v>
      </c>
      <c r="W195" t="s">
        <v>1664</v>
      </c>
      <c r="X195" t="s">
        <v>1665</v>
      </c>
      <c r="Y195" t="s">
        <v>74</v>
      </c>
      <c r="Z195" t="s">
        <v>1666</v>
      </c>
      <c r="AA195" t="s">
        <v>1667</v>
      </c>
      <c r="AB195" t="s">
        <v>1668</v>
      </c>
      <c r="AC195" t="s">
        <v>74</v>
      </c>
      <c r="AD195" t="s">
        <v>74</v>
      </c>
      <c r="AE195" t="s">
        <v>74</v>
      </c>
      <c r="AF195" t="s">
        <v>74</v>
      </c>
      <c r="AG195">
        <v>8</v>
      </c>
      <c r="AH195">
        <v>2</v>
      </c>
      <c r="AI195">
        <v>3</v>
      </c>
      <c r="AJ195">
        <v>0</v>
      </c>
      <c r="AK195">
        <v>0</v>
      </c>
      <c r="AL195" t="s">
        <v>149</v>
      </c>
      <c r="AM195" t="s">
        <v>150</v>
      </c>
      <c r="AN195" t="s">
        <v>151</v>
      </c>
      <c r="AO195" t="s">
        <v>91</v>
      </c>
      <c r="AP195" t="s">
        <v>74</v>
      </c>
      <c r="AQ195" t="s">
        <v>74</v>
      </c>
      <c r="AR195" t="s">
        <v>93</v>
      </c>
      <c r="AS195" t="s">
        <v>94</v>
      </c>
      <c r="AT195" t="s">
        <v>95</v>
      </c>
      <c r="AU195">
        <v>2008</v>
      </c>
      <c r="AV195">
        <v>43</v>
      </c>
      <c r="AW195">
        <v>7</v>
      </c>
      <c r="AX195" t="s">
        <v>74</v>
      </c>
      <c r="AY195" t="s">
        <v>96</v>
      </c>
      <c r="AZ195" t="s">
        <v>74</v>
      </c>
      <c r="BA195" t="s">
        <v>74</v>
      </c>
      <c r="BB195" t="s">
        <v>1669</v>
      </c>
      <c r="BC195" t="s">
        <v>1669</v>
      </c>
      <c r="BD195" t="s">
        <v>74</v>
      </c>
      <c r="BE195" t="s">
        <v>74</v>
      </c>
      <c r="BF195" t="s">
        <v>74</v>
      </c>
      <c r="BG195" t="s">
        <v>74</v>
      </c>
      <c r="BH195" t="s">
        <v>74</v>
      </c>
      <c r="BI195">
        <v>1</v>
      </c>
      <c r="BJ195" t="s">
        <v>98</v>
      </c>
      <c r="BK195" t="s">
        <v>99</v>
      </c>
      <c r="BL195" t="s">
        <v>98</v>
      </c>
      <c r="BM195" t="s">
        <v>100</v>
      </c>
      <c r="BN195" t="s">
        <v>74</v>
      </c>
      <c r="BO195" t="s">
        <v>74</v>
      </c>
      <c r="BP195" t="s">
        <v>74</v>
      </c>
      <c r="BQ195" t="s">
        <v>74</v>
      </c>
      <c r="BR195" t="s">
        <v>101</v>
      </c>
      <c r="BS195" t="s">
        <v>1670</v>
      </c>
      <c r="BT195" t="str">
        <f>HYPERLINK("https%3A%2F%2Fwww.webofscience.com%2Fwos%2Fwoscc%2Ffull-record%2FWOS:000257683100207","View Full Record in Web of Science")</f>
        <v>View Full Record in Web of Science</v>
      </c>
    </row>
    <row r="196" spans="1:72" x14ac:dyDescent="0.15">
      <c r="A196" t="s">
        <v>72</v>
      </c>
      <c r="B196" t="s">
        <v>1671</v>
      </c>
      <c r="C196" t="s">
        <v>74</v>
      </c>
      <c r="D196" t="s">
        <v>74</v>
      </c>
      <c r="E196" t="s">
        <v>74</v>
      </c>
      <c r="F196" t="s">
        <v>1672</v>
      </c>
      <c r="G196" t="s">
        <v>74</v>
      </c>
      <c r="H196" t="s">
        <v>74</v>
      </c>
      <c r="I196" t="s">
        <v>1673</v>
      </c>
      <c r="J196" t="s">
        <v>77</v>
      </c>
      <c r="K196" t="s">
        <v>74</v>
      </c>
      <c r="L196" t="s">
        <v>74</v>
      </c>
      <c r="M196" t="s">
        <v>78</v>
      </c>
      <c r="N196" t="s">
        <v>52</v>
      </c>
      <c r="O196" t="s">
        <v>79</v>
      </c>
      <c r="P196" t="s">
        <v>80</v>
      </c>
      <c r="Q196" t="s">
        <v>81</v>
      </c>
      <c r="R196" t="s">
        <v>74</v>
      </c>
      <c r="S196" t="s">
        <v>82</v>
      </c>
      <c r="T196" t="s">
        <v>74</v>
      </c>
      <c r="U196" t="s">
        <v>74</v>
      </c>
      <c r="V196" t="s">
        <v>74</v>
      </c>
      <c r="W196" t="s">
        <v>1674</v>
      </c>
      <c r="X196" t="s">
        <v>1675</v>
      </c>
      <c r="Y196" t="s">
        <v>74</v>
      </c>
      <c r="Z196" t="s">
        <v>1676</v>
      </c>
      <c r="AA196" t="s">
        <v>74</v>
      </c>
      <c r="AB196" t="s">
        <v>74</v>
      </c>
      <c r="AC196" t="s">
        <v>74</v>
      </c>
      <c r="AD196" t="s">
        <v>74</v>
      </c>
      <c r="AE196" t="s">
        <v>74</v>
      </c>
      <c r="AF196" t="s">
        <v>74</v>
      </c>
      <c r="AG196">
        <v>5</v>
      </c>
      <c r="AH196">
        <v>0</v>
      </c>
      <c r="AI196">
        <v>0</v>
      </c>
      <c r="AJ196">
        <v>0</v>
      </c>
      <c r="AK196">
        <v>0</v>
      </c>
      <c r="AL196" t="s">
        <v>109</v>
      </c>
      <c r="AM196" t="s">
        <v>110</v>
      </c>
      <c r="AN196" t="s">
        <v>111</v>
      </c>
      <c r="AO196" t="s">
        <v>91</v>
      </c>
      <c r="AP196" t="s">
        <v>74</v>
      </c>
      <c r="AQ196" t="s">
        <v>74</v>
      </c>
      <c r="AR196" t="s">
        <v>93</v>
      </c>
      <c r="AS196" t="s">
        <v>94</v>
      </c>
      <c r="AT196" t="s">
        <v>95</v>
      </c>
      <c r="AU196">
        <v>2008</v>
      </c>
      <c r="AV196">
        <v>43</v>
      </c>
      <c r="AW196">
        <v>7</v>
      </c>
      <c r="AX196" t="s">
        <v>74</v>
      </c>
      <c r="AY196" t="s">
        <v>96</v>
      </c>
      <c r="AZ196" t="s">
        <v>74</v>
      </c>
      <c r="BA196" t="s">
        <v>74</v>
      </c>
      <c r="BB196" t="s">
        <v>1669</v>
      </c>
      <c r="BC196" t="s">
        <v>1669</v>
      </c>
      <c r="BD196" t="s">
        <v>74</v>
      </c>
      <c r="BE196" t="s">
        <v>74</v>
      </c>
      <c r="BF196" t="s">
        <v>74</v>
      </c>
      <c r="BG196" t="s">
        <v>74</v>
      </c>
      <c r="BH196" t="s">
        <v>74</v>
      </c>
      <c r="BI196">
        <v>1</v>
      </c>
      <c r="BJ196" t="s">
        <v>98</v>
      </c>
      <c r="BK196" t="s">
        <v>113</v>
      </c>
      <c r="BL196" t="s">
        <v>98</v>
      </c>
      <c r="BM196" t="s">
        <v>100</v>
      </c>
      <c r="BN196" t="s">
        <v>74</v>
      </c>
      <c r="BO196" t="s">
        <v>74</v>
      </c>
      <c r="BP196" t="s">
        <v>74</v>
      </c>
      <c r="BQ196" t="s">
        <v>74</v>
      </c>
      <c r="BR196" t="s">
        <v>101</v>
      </c>
      <c r="BS196" t="s">
        <v>1677</v>
      </c>
      <c r="BT196" t="str">
        <f>HYPERLINK("https%3A%2F%2Fwww.webofscience.com%2Fwos%2Fwoscc%2Ffull-record%2FWOS:000257683100208","View Full Record in Web of Science")</f>
        <v>View Full Record in Web of Science</v>
      </c>
    </row>
    <row r="197" spans="1:72" x14ac:dyDescent="0.15">
      <c r="A197" t="s">
        <v>72</v>
      </c>
      <c r="B197" t="s">
        <v>1678</v>
      </c>
      <c r="C197" t="s">
        <v>74</v>
      </c>
      <c r="D197" t="s">
        <v>74</v>
      </c>
      <c r="E197" t="s">
        <v>74</v>
      </c>
      <c r="F197" t="s">
        <v>1679</v>
      </c>
      <c r="G197" t="s">
        <v>74</v>
      </c>
      <c r="H197" t="s">
        <v>74</v>
      </c>
      <c r="I197" t="s">
        <v>1680</v>
      </c>
      <c r="J197" t="s">
        <v>77</v>
      </c>
      <c r="K197" t="s">
        <v>74</v>
      </c>
      <c r="L197" t="s">
        <v>74</v>
      </c>
      <c r="M197" t="s">
        <v>78</v>
      </c>
      <c r="N197" t="s">
        <v>52</v>
      </c>
      <c r="O197" t="s">
        <v>79</v>
      </c>
      <c r="P197" t="s">
        <v>80</v>
      </c>
      <c r="Q197" t="s">
        <v>81</v>
      </c>
      <c r="R197" t="s">
        <v>74</v>
      </c>
      <c r="S197" t="s">
        <v>82</v>
      </c>
      <c r="T197" t="s">
        <v>74</v>
      </c>
      <c r="U197" t="s">
        <v>74</v>
      </c>
      <c r="V197" t="s">
        <v>74</v>
      </c>
      <c r="W197" t="s">
        <v>1681</v>
      </c>
      <c r="X197" t="s">
        <v>1682</v>
      </c>
      <c r="Y197" t="s">
        <v>74</v>
      </c>
      <c r="Z197" t="s">
        <v>1683</v>
      </c>
      <c r="AA197" t="s">
        <v>74</v>
      </c>
      <c r="AB197" t="s">
        <v>74</v>
      </c>
      <c r="AC197" t="s">
        <v>74</v>
      </c>
      <c r="AD197" t="s">
        <v>74</v>
      </c>
      <c r="AE197" t="s">
        <v>74</v>
      </c>
      <c r="AF197" t="s">
        <v>74</v>
      </c>
      <c r="AG197">
        <v>3</v>
      </c>
      <c r="AH197">
        <v>0</v>
      </c>
      <c r="AI197">
        <v>0</v>
      </c>
      <c r="AJ197">
        <v>0</v>
      </c>
      <c r="AK197">
        <v>3</v>
      </c>
      <c r="AL197" t="s">
        <v>88</v>
      </c>
      <c r="AM197" t="s">
        <v>89</v>
      </c>
      <c r="AN197" t="s">
        <v>90</v>
      </c>
      <c r="AO197" t="s">
        <v>91</v>
      </c>
      <c r="AP197" t="s">
        <v>92</v>
      </c>
      <c r="AQ197" t="s">
        <v>74</v>
      </c>
      <c r="AR197" t="s">
        <v>93</v>
      </c>
      <c r="AS197" t="s">
        <v>94</v>
      </c>
      <c r="AT197" t="s">
        <v>95</v>
      </c>
      <c r="AU197">
        <v>2008</v>
      </c>
      <c r="AV197">
        <v>43</v>
      </c>
      <c r="AW197">
        <v>7</v>
      </c>
      <c r="AX197" t="s">
        <v>74</v>
      </c>
      <c r="AY197" t="s">
        <v>96</v>
      </c>
      <c r="AZ197" t="s">
        <v>74</v>
      </c>
      <c r="BA197" t="s">
        <v>74</v>
      </c>
      <c r="BB197" t="s">
        <v>1684</v>
      </c>
      <c r="BC197" t="s">
        <v>1684</v>
      </c>
      <c r="BD197" t="s">
        <v>74</v>
      </c>
      <c r="BE197" t="s">
        <v>74</v>
      </c>
      <c r="BF197" t="s">
        <v>74</v>
      </c>
      <c r="BG197" t="s">
        <v>74</v>
      </c>
      <c r="BH197" t="s">
        <v>74</v>
      </c>
      <c r="BI197">
        <v>1</v>
      </c>
      <c r="BJ197" t="s">
        <v>98</v>
      </c>
      <c r="BK197" t="s">
        <v>99</v>
      </c>
      <c r="BL197" t="s">
        <v>98</v>
      </c>
      <c r="BM197" t="s">
        <v>100</v>
      </c>
      <c r="BN197" t="s">
        <v>74</v>
      </c>
      <c r="BO197" t="s">
        <v>74</v>
      </c>
      <c r="BP197" t="s">
        <v>74</v>
      </c>
      <c r="BQ197" t="s">
        <v>74</v>
      </c>
      <c r="BR197" t="s">
        <v>101</v>
      </c>
      <c r="BS197" t="s">
        <v>1685</v>
      </c>
      <c r="BT197" t="str">
        <f>HYPERLINK("https%3A%2F%2Fwww.webofscience.com%2Fwos%2Fwoscc%2Ffull-record%2FWOS:000257683100209","View Full Record in Web of Science")</f>
        <v>View Full Record in Web of Science</v>
      </c>
    </row>
    <row r="198" spans="1:72" x14ac:dyDescent="0.15">
      <c r="A198" t="s">
        <v>72</v>
      </c>
      <c r="B198" t="s">
        <v>1686</v>
      </c>
      <c r="C198" t="s">
        <v>74</v>
      </c>
      <c r="D198" t="s">
        <v>74</v>
      </c>
      <c r="E198" t="s">
        <v>74</v>
      </c>
      <c r="F198" t="s">
        <v>1687</v>
      </c>
      <c r="G198" t="s">
        <v>74</v>
      </c>
      <c r="H198" t="s">
        <v>74</v>
      </c>
      <c r="I198" t="s">
        <v>1688</v>
      </c>
      <c r="J198" t="s">
        <v>77</v>
      </c>
      <c r="K198" t="s">
        <v>74</v>
      </c>
      <c r="L198" t="s">
        <v>74</v>
      </c>
      <c r="M198" t="s">
        <v>78</v>
      </c>
      <c r="N198" t="s">
        <v>52</v>
      </c>
      <c r="O198" t="s">
        <v>79</v>
      </c>
      <c r="P198" t="s">
        <v>80</v>
      </c>
      <c r="Q198" t="s">
        <v>81</v>
      </c>
      <c r="R198" t="s">
        <v>74</v>
      </c>
      <c r="S198" t="s">
        <v>82</v>
      </c>
      <c r="T198" t="s">
        <v>74</v>
      </c>
      <c r="U198" t="s">
        <v>74</v>
      </c>
      <c r="V198" t="s">
        <v>74</v>
      </c>
      <c r="W198" t="s">
        <v>74</v>
      </c>
      <c r="X198" t="s">
        <v>74</v>
      </c>
      <c r="Y198" t="s">
        <v>74</v>
      </c>
      <c r="Z198" t="s">
        <v>74</v>
      </c>
      <c r="AA198" t="s">
        <v>74</v>
      </c>
      <c r="AB198" t="s">
        <v>74</v>
      </c>
      <c r="AC198" t="s">
        <v>74</v>
      </c>
      <c r="AD198" t="s">
        <v>74</v>
      </c>
      <c r="AE198" t="s">
        <v>74</v>
      </c>
      <c r="AF198" t="s">
        <v>74</v>
      </c>
      <c r="AG198">
        <v>0</v>
      </c>
      <c r="AH198">
        <v>2</v>
      </c>
      <c r="AI198">
        <v>2</v>
      </c>
      <c r="AJ198">
        <v>0</v>
      </c>
      <c r="AK198">
        <v>0</v>
      </c>
      <c r="AL198" t="s">
        <v>109</v>
      </c>
      <c r="AM198" t="s">
        <v>110</v>
      </c>
      <c r="AN198" t="s">
        <v>111</v>
      </c>
      <c r="AO198" t="s">
        <v>91</v>
      </c>
      <c r="AP198" t="s">
        <v>74</v>
      </c>
      <c r="AQ198" t="s">
        <v>74</v>
      </c>
      <c r="AR198" t="s">
        <v>93</v>
      </c>
      <c r="AS198" t="s">
        <v>94</v>
      </c>
      <c r="AT198" t="s">
        <v>95</v>
      </c>
      <c r="AU198">
        <v>2008</v>
      </c>
      <c r="AV198">
        <v>43</v>
      </c>
      <c r="AW198">
        <v>7</v>
      </c>
      <c r="AX198" t="s">
        <v>74</v>
      </c>
      <c r="AY198" t="s">
        <v>96</v>
      </c>
      <c r="AZ198" t="s">
        <v>74</v>
      </c>
      <c r="BA198" t="s">
        <v>74</v>
      </c>
      <c r="BB198" t="s">
        <v>1684</v>
      </c>
      <c r="BC198" t="s">
        <v>1684</v>
      </c>
      <c r="BD198" t="s">
        <v>74</v>
      </c>
      <c r="BE198" t="s">
        <v>74</v>
      </c>
      <c r="BF198" t="s">
        <v>74</v>
      </c>
      <c r="BG198" t="s">
        <v>74</v>
      </c>
      <c r="BH198" t="s">
        <v>74</v>
      </c>
      <c r="BI198">
        <v>1</v>
      </c>
      <c r="BJ198" t="s">
        <v>98</v>
      </c>
      <c r="BK198" t="s">
        <v>113</v>
      </c>
      <c r="BL198" t="s">
        <v>98</v>
      </c>
      <c r="BM198" t="s">
        <v>100</v>
      </c>
      <c r="BN198" t="s">
        <v>74</v>
      </c>
      <c r="BO198" t="s">
        <v>74</v>
      </c>
      <c r="BP198" t="s">
        <v>74</v>
      </c>
      <c r="BQ198" t="s">
        <v>74</v>
      </c>
      <c r="BR198" t="s">
        <v>101</v>
      </c>
      <c r="BS198" t="s">
        <v>1689</v>
      </c>
      <c r="BT198" t="str">
        <f>HYPERLINK("https%3A%2F%2Fwww.webofscience.com%2Fwos%2Fwoscc%2Ffull-record%2FWOS:000257683100210","View Full Record in Web of Science")</f>
        <v>View Full Record in Web of Science</v>
      </c>
    </row>
    <row r="199" spans="1:72" x14ac:dyDescent="0.15">
      <c r="A199" t="s">
        <v>72</v>
      </c>
      <c r="B199" t="s">
        <v>1690</v>
      </c>
      <c r="C199" t="s">
        <v>74</v>
      </c>
      <c r="D199" t="s">
        <v>74</v>
      </c>
      <c r="E199" t="s">
        <v>74</v>
      </c>
      <c r="F199" t="s">
        <v>1691</v>
      </c>
      <c r="G199" t="s">
        <v>74</v>
      </c>
      <c r="H199" t="s">
        <v>74</v>
      </c>
      <c r="I199" t="s">
        <v>1692</v>
      </c>
      <c r="J199" t="s">
        <v>77</v>
      </c>
      <c r="K199" t="s">
        <v>74</v>
      </c>
      <c r="L199" t="s">
        <v>74</v>
      </c>
      <c r="M199" t="s">
        <v>78</v>
      </c>
      <c r="N199" t="s">
        <v>52</v>
      </c>
      <c r="O199" t="s">
        <v>79</v>
      </c>
      <c r="P199" t="s">
        <v>80</v>
      </c>
      <c r="Q199" t="s">
        <v>81</v>
      </c>
      <c r="R199" t="s">
        <v>74</v>
      </c>
      <c r="S199" t="s">
        <v>82</v>
      </c>
      <c r="T199" t="s">
        <v>74</v>
      </c>
      <c r="U199" t="s">
        <v>74</v>
      </c>
      <c r="V199" t="s">
        <v>74</v>
      </c>
      <c r="W199" t="s">
        <v>1693</v>
      </c>
      <c r="X199" t="s">
        <v>928</v>
      </c>
      <c r="Y199" t="s">
        <v>74</v>
      </c>
      <c r="Z199" t="s">
        <v>1694</v>
      </c>
      <c r="AA199" t="s">
        <v>1695</v>
      </c>
      <c r="AB199" t="s">
        <v>1696</v>
      </c>
      <c r="AC199" t="s">
        <v>74</v>
      </c>
      <c r="AD199" t="s">
        <v>74</v>
      </c>
      <c r="AE199" t="s">
        <v>74</v>
      </c>
      <c r="AF199" t="s">
        <v>74</v>
      </c>
      <c r="AG199">
        <v>4</v>
      </c>
      <c r="AH199">
        <v>1</v>
      </c>
      <c r="AI199">
        <v>1</v>
      </c>
      <c r="AJ199">
        <v>0</v>
      </c>
      <c r="AK199">
        <v>0</v>
      </c>
      <c r="AL199" t="s">
        <v>88</v>
      </c>
      <c r="AM199" t="s">
        <v>89</v>
      </c>
      <c r="AN199" t="s">
        <v>90</v>
      </c>
      <c r="AO199" t="s">
        <v>91</v>
      </c>
      <c r="AP199" t="s">
        <v>92</v>
      </c>
      <c r="AQ199" t="s">
        <v>74</v>
      </c>
      <c r="AR199" t="s">
        <v>93</v>
      </c>
      <c r="AS199" t="s">
        <v>94</v>
      </c>
      <c r="AT199" t="s">
        <v>95</v>
      </c>
      <c r="AU199">
        <v>2008</v>
      </c>
      <c r="AV199">
        <v>43</v>
      </c>
      <c r="AW199">
        <v>7</v>
      </c>
      <c r="AX199" t="s">
        <v>74</v>
      </c>
      <c r="AY199" t="s">
        <v>96</v>
      </c>
      <c r="AZ199" t="s">
        <v>74</v>
      </c>
      <c r="BA199" t="s">
        <v>74</v>
      </c>
      <c r="BB199" t="s">
        <v>1697</v>
      </c>
      <c r="BC199" t="s">
        <v>1697</v>
      </c>
      <c r="BD199" t="s">
        <v>74</v>
      </c>
      <c r="BE199" t="s">
        <v>74</v>
      </c>
      <c r="BF199" t="s">
        <v>74</v>
      </c>
      <c r="BG199" t="s">
        <v>74</v>
      </c>
      <c r="BH199" t="s">
        <v>74</v>
      </c>
      <c r="BI199">
        <v>1</v>
      </c>
      <c r="BJ199" t="s">
        <v>98</v>
      </c>
      <c r="BK199" t="s">
        <v>99</v>
      </c>
      <c r="BL199" t="s">
        <v>98</v>
      </c>
      <c r="BM199" t="s">
        <v>100</v>
      </c>
      <c r="BN199" t="s">
        <v>74</v>
      </c>
      <c r="BO199" t="s">
        <v>74</v>
      </c>
      <c r="BP199" t="s">
        <v>74</v>
      </c>
      <c r="BQ199" t="s">
        <v>74</v>
      </c>
      <c r="BR199" t="s">
        <v>101</v>
      </c>
      <c r="BS199" t="s">
        <v>1698</v>
      </c>
      <c r="BT199" t="str">
        <f>HYPERLINK("https%3A%2F%2Fwww.webofscience.com%2Fwos%2Fwoscc%2Ffull-record%2FWOS:000257683100211","View Full Record in Web of Science")</f>
        <v>View Full Record in Web of Science</v>
      </c>
    </row>
    <row r="200" spans="1:72" x14ac:dyDescent="0.15">
      <c r="A200" t="s">
        <v>72</v>
      </c>
      <c r="B200" t="s">
        <v>1699</v>
      </c>
      <c r="C200" t="s">
        <v>74</v>
      </c>
      <c r="D200" t="s">
        <v>74</v>
      </c>
      <c r="E200" t="s">
        <v>74</v>
      </c>
      <c r="F200" t="s">
        <v>1700</v>
      </c>
      <c r="G200" t="s">
        <v>74</v>
      </c>
      <c r="H200" t="s">
        <v>74</v>
      </c>
      <c r="I200" t="s">
        <v>1701</v>
      </c>
      <c r="J200" t="s">
        <v>77</v>
      </c>
      <c r="K200" t="s">
        <v>74</v>
      </c>
      <c r="L200" t="s">
        <v>74</v>
      </c>
      <c r="M200" t="s">
        <v>78</v>
      </c>
      <c r="N200" t="s">
        <v>52</v>
      </c>
      <c r="O200" t="s">
        <v>79</v>
      </c>
      <c r="P200" t="s">
        <v>80</v>
      </c>
      <c r="Q200" t="s">
        <v>81</v>
      </c>
      <c r="R200" t="s">
        <v>74</v>
      </c>
      <c r="S200" t="s">
        <v>82</v>
      </c>
      <c r="T200" t="s">
        <v>74</v>
      </c>
      <c r="U200" t="s">
        <v>74</v>
      </c>
      <c r="V200" t="s">
        <v>74</v>
      </c>
      <c r="W200" t="s">
        <v>1702</v>
      </c>
      <c r="X200" t="s">
        <v>1703</v>
      </c>
      <c r="Y200" t="s">
        <v>74</v>
      </c>
      <c r="Z200" t="s">
        <v>1704</v>
      </c>
      <c r="AA200" t="s">
        <v>1705</v>
      </c>
      <c r="AB200" t="s">
        <v>1706</v>
      </c>
      <c r="AC200" t="s">
        <v>74</v>
      </c>
      <c r="AD200" t="s">
        <v>74</v>
      </c>
      <c r="AE200" t="s">
        <v>74</v>
      </c>
      <c r="AF200" t="s">
        <v>74</v>
      </c>
      <c r="AG200">
        <v>6</v>
      </c>
      <c r="AH200">
        <v>3</v>
      </c>
      <c r="AI200">
        <v>5</v>
      </c>
      <c r="AJ200">
        <v>0</v>
      </c>
      <c r="AK200">
        <v>0</v>
      </c>
      <c r="AL200" t="s">
        <v>88</v>
      </c>
      <c r="AM200" t="s">
        <v>89</v>
      </c>
      <c r="AN200" t="s">
        <v>90</v>
      </c>
      <c r="AO200" t="s">
        <v>91</v>
      </c>
      <c r="AP200" t="s">
        <v>92</v>
      </c>
      <c r="AQ200" t="s">
        <v>74</v>
      </c>
      <c r="AR200" t="s">
        <v>93</v>
      </c>
      <c r="AS200" t="s">
        <v>94</v>
      </c>
      <c r="AT200" t="s">
        <v>95</v>
      </c>
      <c r="AU200">
        <v>2008</v>
      </c>
      <c r="AV200">
        <v>43</v>
      </c>
      <c r="AW200">
        <v>7</v>
      </c>
      <c r="AX200" t="s">
        <v>74</v>
      </c>
      <c r="AY200" t="s">
        <v>96</v>
      </c>
      <c r="AZ200" t="s">
        <v>74</v>
      </c>
      <c r="BA200" t="s">
        <v>74</v>
      </c>
      <c r="BB200" t="s">
        <v>1697</v>
      </c>
      <c r="BC200" t="s">
        <v>1697</v>
      </c>
      <c r="BD200" t="s">
        <v>74</v>
      </c>
      <c r="BE200" t="s">
        <v>74</v>
      </c>
      <c r="BF200" t="s">
        <v>74</v>
      </c>
      <c r="BG200" t="s">
        <v>74</v>
      </c>
      <c r="BH200" t="s">
        <v>74</v>
      </c>
      <c r="BI200">
        <v>1</v>
      </c>
      <c r="BJ200" t="s">
        <v>98</v>
      </c>
      <c r="BK200" t="s">
        <v>99</v>
      </c>
      <c r="BL200" t="s">
        <v>98</v>
      </c>
      <c r="BM200" t="s">
        <v>100</v>
      </c>
      <c r="BN200" t="s">
        <v>74</v>
      </c>
      <c r="BO200" t="s">
        <v>74</v>
      </c>
      <c r="BP200" t="s">
        <v>74</v>
      </c>
      <c r="BQ200" t="s">
        <v>74</v>
      </c>
      <c r="BR200" t="s">
        <v>101</v>
      </c>
      <c r="BS200" t="s">
        <v>1707</v>
      </c>
      <c r="BT200" t="str">
        <f>HYPERLINK("https%3A%2F%2Fwww.webofscience.com%2Fwos%2Fwoscc%2Ffull-record%2FWOS:000257683100212","View Full Record in Web of Science")</f>
        <v>View Full Record in Web of Science</v>
      </c>
    </row>
    <row r="201" spans="1:72" x14ac:dyDescent="0.15">
      <c r="A201" t="s">
        <v>72</v>
      </c>
      <c r="B201" t="s">
        <v>1708</v>
      </c>
      <c r="C201" t="s">
        <v>74</v>
      </c>
      <c r="D201" t="s">
        <v>74</v>
      </c>
      <c r="E201" t="s">
        <v>74</v>
      </c>
      <c r="F201" t="s">
        <v>1709</v>
      </c>
      <c r="G201" t="s">
        <v>74</v>
      </c>
      <c r="H201" t="s">
        <v>74</v>
      </c>
      <c r="I201" t="s">
        <v>1710</v>
      </c>
      <c r="J201" t="s">
        <v>77</v>
      </c>
      <c r="K201" t="s">
        <v>74</v>
      </c>
      <c r="L201" t="s">
        <v>74</v>
      </c>
      <c r="M201" t="s">
        <v>78</v>
      </c>
      <c r="N201" t="s">
        <v>52</v>
      </c>
      <c r="O201" t="s">
        <v>79</v>
      </c>
      <c r="P201" t="s">
        <v>80</v>
      </c>
      <c r="Q201" t="s">
        <v>81</v>
      </c>
      <c r="R201" t="s">
        <v>74</v>
      </c>
      <c r="S201" t="s">
        <v>82</v>
      </c>
      <c r="T201" t="s">
        <v>74</v>
      </c>
      <c r="U201" t="s">
        <v>74</v>
      </c>
      <c r="V201" t="s">
        <v>74</v>
      </c>
      <c r="W201" t="s">
        <v>1711</v>
      </c>
      <c r="X201" t="s">
        <v>1712</v>
      </c>
      <c r="Y201" t="s">
        <v>74</v>
      </c>
      <c r="Z201" t="s">
        <v>1713</v>
      </c>
      <c r="AA201" t="s">
        <v>1714</v>
      </c>
      <c r="AB201" t="s">
        <v>74</v>
      </c>
      <c r="AC201" t="s">
        <v>74</v>
      </c>
      <c r="AD201" t="s">
        <v>74</v>
      </c>
      <c r="AE201" t="s">
        <v>74</v>
      </c>
      <c r="AF201" t="s">
        <v>74</v>
      </c>
      <c r="AG201">
        <v>0</v>
      </c>
      <c r="AH201">
        <v>0</v>
      </c>
      <c r="AI201">
        <v>0</v>
      </c>
      <c r="AJ201">
        <v>0</v>
      </c>
      <c r="AK201">
        <v>0</v>
      </c>
      <c r="AL201" t="s">
        <v>109</v>
      </c>
      <c r="AM201" t="s">
        <v>110</v>
      </c>
      <c r="AN201" t="s">
        <v>111</v>
      </c>
      <c r="AO201" t="s">
        <v>91</v>
      </c>
      <c r="AP201" t="s">
        <v>74</v>
      </c>
      <c r="AQ201" t="s">
        <v>74</v>
      </c>
      <c r="AR201" t="s">
        <v>93</v>
      </c>
      <c r="AS201" t="s">
        <v>94</v>
      </c>
      <c r="AT201" t="s">
        <v>95</v>
      </c>
      <c r="AU201">
        <v>2008</v>
      </c>
      <c r="AV201">
        <v>43</v>
      </c>
      <c r="AW201">
        <v>7</v>
      </c>
      <c r="AX201" t="s">
        <v>74</v>
      </c>
      <c r="AY201" t="s">
        <v>96</v>
      </c>
      <c r="AZ201" t="s">
        <v>74</v>
      </c>
      <c r="BA201" t="s">
        <v>74</v>
      </c>
      <c r="BB201" t="s">
        <v>300</v>
      </c>
      <c r="BC201" t="s">
        <v>300</v>
      </c>
      <c r="BD201" t="s">
        <v>74</v>
      </c>
      <c r="BE201" t="s">
        <v>74</v>
      </c>
      <c r="BF201" t="s">
        <v>74</v>
      </c>
      <c r="BG201" t="s">
        <v>74</v>
      </c>
      <c r="BH201" t="s">
        <v>74</v>
      </c>
      <c r="BI201">
        <v>1</v>
      </c>
      <c r="BJ201" t="s">
        <v>98</v>
      </c>
      <c r="BK201" t="s">
        <v>113</v>
      </c>
      <c r="BL201" t="s">
        <v>98</v>
      </c>
      <c r="BM201" t="s">
        <v>100</v>
      </c>
      <c r="BN201" t="s">
        <v>74</v>
      </c>
      <c r="BO201" t="s">
        <v>74</v>
      </c>
      <c r="BP201" t="s">
        <v>74</v>
      </c>
      <c r="BQ201" t="s">
        <v>74</v>
      </c>
      <c r="BR201" t="s">
        <v>101</v>
      </c>
      <c r="BS201" t="s">
        <v>1715</v>
      </c>
      <c r="BT201" t="str">
        <f>HYPERLINK("https%3A%2F%2Fwww.webofscience.com%2Fwos%2Fwoscc%2Ffull-record%2FWOS:000257683100214","View Full Record in Web of Science")</f>
        <v>View Full Record in Web of Science</v>
      </c>
    </row>
    <row r="202" spans="1:72" x14ac:dyDescent="0.15">
      <c r="A202" t="s">
        <v>72</v>
      </c>
      <c r="B202" t="s">
        <v>1716</v>
      </c>
      <c r="C202" t="s">
        <v>74</v>
      </c>
      <c r="D202" t="s">
        <v>74</v>
      </c>
      <c r="E202" t="s">
        <v>74</v>
      </c>
      <c r="F202" t="s">
        <v>1717</v>
      </c>
      <c r="G202" t="s">
        <v>74</v>
      </c>
      <c r="H202" t="s">
        <v>74</v>
      </c>
      <c r="I202" t="s">
        <v>1718</v>
      </c>
      <c r="J202" t="s">
        <v>77</v>
      </c>
      <c r="K202" t="s">
        <v>74</v>
      </c>
      <c r="L202" t="s">
        <v>74</v>
      </c>
      <c r="M202" t="s">
        <v>78</v>
      </c>
      <c r="N202" t="s">
        <v>52</v>
      </c>
      <c r="O202" t="s">
        <v>79</v>
      </c>
      <c r="P202" t="s">
        <v>80</v>
      </c>
      <c r="Q202" t="s">
        <v>81</v>
      </c>
      <c r="R202" t="s">
        <v>74</v>
      </c>
      <c r="S202" t="s">
        <v>82</v>
      </c>
      <c r="T202" t="s">
        <v>74</v>
      </c>
      <c r="U202" t="s">
        <v>1719</v>
      </c>
      <c r="V202" t="s">
        <v>74</v>
      </c>
      <c r="W202" t="s">
        <v>1720</v>
      </c>
      <c r="X202" t="s">
        <v>403</v>
      </c>
      <c r="Y202" t="s">
        <v>74</v>
      </c>
      <c r="Z202" t="s">
        <v>1721</v>
      </c>
      <c r="AA202" t="s">
        <v>74</v>
      </c>
      <c r="AB202" t="s">
        <v>74</v>
      </c>
      <c r="AC202" t="s">
        <v>74</v>
      </c>
      <c r="AD202" t="s">
        <v>74</v>
      </c>
      <c r="AE202" t="s">
        <v>74</v>
      </c>
      <c r="AF202" t="s">
        <v>74</v>
      </c>
      <c r="AG202">
        <v>11</v>
      </c>
      <c r="AH202">
        <v>1</v>
      </c>
      <c r="AI202">
        <v>1</v>
      </c>
      <c r="AJ202">
        <v>0</v>
      </c>
      <c r="AK202">
        <v>2</v>
      </c>
      <c r="AL202" t="s">
        <v>149</v>
      </c>
      <c r="AM202" t="s">
        <v>150</v>
      </c>
      <c r="AN202" t="s">
        <v>151</v>
      </c>
      <c r="AO202" t="s">
        <v>91</v>
      </c>
      <c r="AP202" t="s">
        <v>74</v>
      </c>
      <c r="AQ202" t="s">
        <v>74</v>
      </c>
      <c r="AR202" t="s">
        <v>93</v>
      </c>
      <c r="AS202" t="s">
        <v>94</v>
      </c>
      <c r="AT202" t="s">
        <v>95</v>
      </c>
      <c r="AU202">
        <v>2008</v>
      </c>
      <c r="AV202">
        <v>43</v>
      </c>
      <c r="AW202">
        <v>7</v>
      </c>
      <c r="AX202" t="s">
        <v>74</v>
      </c>
      <c r="AY202" t="s">
        <v>96</v>
      </c>
      <c r="AZ202" t="s">
        <v>74</v>
      </c>
      <c r="BA202" t="s">
        <v>74</v>
      </c>
      <c r="BB202" t="s">
        <v>1722</v>
      </c>
      <c r="BC202" t="s">
        <v>1722</v>
      </c>
      <c r="BD202" t="s">
        <v>74</v>
      </c>
      <c r="BE202" t="s">
        <v>74</v>
      </c>
      <c r="BF202" t="s">
        <v>74</v>
      </c>
      <c r="BG202" t="s">
        <v>74</v>
      </c>
      <c r="BH202" t="s">
        <v>74</v>
      </c>
      <c r="BI202">
        <v>1</v>
      </c>
      <c r="BJ202" t="s">
        <v>98</v>
      </c>
      <c r="BK202" t="s">
        <v>99</v>
      </c>
      <c r="BL202" t="s">
        <v>98</v>
      </c>
      <c r="BM202" t="s">
        <v>100</v>
      </c>
      <c r="BN202" t="s">
        <v>74</v>
      </c>
      <c r="BO202" t="s">
        <v>74</v>
      </c>
      <c r="BP202" t="s">
        <v>74</v>
      </c>
      <c r="BQ202" t="s">
        <v>74</v>
      </c>
      <c r="BR202" t="s">
        <v>101</v>
      </c>
      <c r="BS202" t="s">
        <v>1723</v>
      </c>
      <c r="BT202" t="str">
        <f>HYPERLINK("https%3A%2F%2Fwww.webofscience.com%2Fwos%2Fwoscc%2Ffull-record%2FWOS:000257683100215","View Full Record in Web of Science")</f>
        <v>View Full Record in Web of Science</v>
      </c>
    </row>
    <row r="203" spans="1:72" x14ac:dyDescent="0.15">
      <c r="A203" t="s">
        <v>72</v>
      </c>
      <c r="B203" t="s">
        <v>1724</v>
      </c>
      <c r="C203" t="s">
        <v>74</v>
      </c>
      <c r="D203" t="s">
        <v>74</v>
      </c>
      <c r="E203" t="s">
        <v>74</v>
      </c>
      <c r="F203" t="s">
        <v>1725</v>
      </c>
      <c r="G203" t="s">
        <v>74</v>
      </c>
      <c r="H203" t="s">
        <v>74</v>
      </c>
      <c r="I203" t="s">
        <v>1726</v>
      </c>
      <c r="J203" t="s">
        <v>77</v>
      </c>
      <c r="K203" t="s">
        <v>74</v>
      </c>
      <c r="L203" t="s">
        <v>74</v>
      </c>
      <c r="M203" t="s">
        <v>78</v>
      </c>
      <c r="N203" t="s">
        <v>52</v>
      </c>
      <c r="O203" t="s">
        <v>79</v>
      </c>
      <c r="P203" t="s">
        <v>80</v>
      </c>
      <c r="Q203" t="s">
        <v>81</v>
      </c>
      <c r="R203" t="s">
        <v>74</v>
      </c>
      <c r="S203" t="s">
        <v>82</v>
      </c>
      <c r="T203" t="s">
        <v>74</v>
      </c>
      <c r="U203" t="s">
        <v>1727</v>
      </c>
      <c r="V203" t="s">
        <v>74</v>
      </c>
      <c r="W203" t="s">
        <v>1728</v>
      </c>
      <c r="X203" t="s">
        <v>1729</v>
      </c>
      <c r="Y203" t="s">
        <v>74</v>
      </c>
      <c r="Z203" t="s">
        <v>1730</v>
      </c>
      <c r="AA203" t="s">
        <v>1731</v>
      </c>
      <c r="AB203" t="s">
        <v>1732</v>
      </c>
      <c r="AC203" t="s">
        <v>74</v>
      </c>
      <c r="AD203" t="s">
        <v>74</v>
      </c>
      <c r="AE203" t="s">
        <v>74</v>
      </c>
      <c r="AF203" t="s">
        <v>74</v>
      </c>
      <c r="AG203">
        <v>5</v>
      </c>
      <c r="AH203">
        <v>0</v>
      </c>
      <c r="AI203">
        <v>0</v>
      </c>
      <c r="AJ203">
        <v>0</v>
      </c>
      <c r="AK203">
        <v>0</v>
      </c>
      <c r="AL203" t="s">
        <v>109</v>
      </c>
      <c r="AM203" t="s">
        <v>110</v>
      </c>
      <c r="AN203" t="s">
        <v>111</v>
      </c>
      <c r="AO203" t="s">
        <v>91</v>
      </c>
      <c r="AP203" t="s">
        <v>74</v>
      </c>
      <c r="AQ203" t="s">
        <v>74</v>
      </c>
      <c r="AR203" t="s">
        <v>93</v>
      </c>
      <c r="AS203" t="s">
        <v>94</v>
      </c>
      <c r="AT203" t="s">
        <v>95</v>
      </c>
      <c r="AU203">
        <v>2008</v>
      </c>
      <c r="AV203">
        <v>43</v>
      </c>
      <c r="AW203">
        <v>7</v>
      </c>
      <c r="AX203" t="s">
        <v>74</v>
      </c>
      <c r="AY203" t="s">
        <v>96</v>
      </c>
      <c r="AZ203" t="s">
        <v>74</v>
      </c>
      <c r="BA203" t="s">
        <v>74</v>
      </c>
      <c r="BB203" t="s">
        <v>1722</v>
      </c>
      <c r="BC203" t="s">
        <v>1722</v>
      </c>
      <c r="BD203" t="s">
        <v>74</v>
      </c>
      <c r="BE203" t="s">
        <v>74</v>
      </c>
      <c r="BF203" t="s">
        <v>74</v>
      </c>
      <c r="BG203" t="s">
        <v>74</v>
      </c>
      <c r="BH203" t="s">
        <v>74</v>
      </c>
      <c r="BI203">
        <v>1</v>
      </c>
      <c r="BJ203" t="s">
        <v>98</v>
      </c>
      <c r="BK203" t="s">
        <v>113</v>
      </c>
      <c r="BL203" t="s">
        <v>98</v>
      </c>
      <c r="BM203" t="s">
        <v>100</v>
      </c>
      <c r="BN203" t="s">
        <v>74</v>
      </c>
      <c r="BO203" t="s">
        <v>74</v>
      </c>
      <c r="BP203" t="s">
        <v>74</v>
      </c>
      <c r="BQ203" t="s">
        <v>74</v>
      </c>
      <c r="BR203" t="s">
        <v>101</v>
      </c>
      <c r="BS203" t="s">
        <v>1733</v>
      </c>
      <c r="BT203" t="str">
        <f>HYPERLINK("https%3A%2F%2Fwww.webofscience.com%2Fwos%2Fwoscc%2Ffull-record%2FWOS:000257683100216","View Full Record in Web of Science")</f>
        <v>View Full Record in Web of Science</v>
      </c>
    </row>
    <row r="204" spans="1:72" x14ac:dyDescent="0.15">
      <c r="A204" t="s">
        <v>72</v>
      </c>
      <c r="B204" t="s">
        <v>1734</v>
      </c>
      <c r="C204" t="s">
        <v>74</v>
      </c>
      <c r="D204" t="s">
        <v>74</v>
      </c>
      <c r="E204" t="s">
        <v>74</v>
      </c>
      <c r="F204" t="s">
        <v>1735</v>
      </c>
      <c r="G204" t="s">
        <v>74</v>
      </c>
      <c r="H204" t="s">
        <v>74</v>
      </c>
      <c r="I204" t="s">
        <v>1736</v>
      </c>
      <c r="J204" t="s">
        <v>77</v>
      </c>
      <c r="K204" t="s">
        <v>74</v>
      </c>
      <c r="L204" t="s">
        <v>74</v>
      </c>
      <c r="M204" t="s">
        <v>78</v>
      </c>
      <c r="N204" t="s">
        <v>52</v>
      </c>
      <c r="O204" t="s">
        <v>79</v>
      </c>
      <c r="P204" t="s">
        <v>80</v>
      </c>
      <c r="Q204" t="s">
        <v>81</v>
      </c>
      <c r="R204" t="s">
        <v>74</v>
      </c>
      <c r="S204" t="s">
        <v>82</v>
      </c>
      <c r="T204" t="s">
        <v>74</v>
      </c>
      <c r="U204" t="s">
        <v>1737</v>
      </c>
      <c r="V204" t="s">
        <v>74</v>
      </c>
      <c r="W204" t="s">
        <v>1738</v>
      </c>
      <c r="X204" t="s">
        <v>1739</v>
      </c>
      <c r="Y204" t="s">
        <v>74</v>
      </c>
      <c r="Z204" t="s">
        <v>1740</v>
      </c>
      <c r="AA204" t="s">
        <v>1741</v>
      </c>
      <c r="AB204" t="s">
        <v>1742</v>
      </c>
      <c r="AC204" t="s">
        <v>74</v>
      </c>
      <c r="AD204" t="s">
        <v>74</v>
      </c>
      <c r="AE204" t="s">
        <v>74</v>
      </c>
      <c r="AF204" t="s">
        <v>74</v>
      </c>
      <c r="AG204">
        <v>5</v>
      </c>
      <c r="AH204">
        <v>0</v>
      </c>
      <c r="AI204">
        <v>0</v>
      </c>
      <c r="AJ204">
        <v>0</v>
      </c>
      <c r="AK204">
        <v>0</v>
      </c>
      <c r="AL204" t="s">
        <v>109</v>
      </c>
      <c r="AM204" t="s">
        <v>110</v>
      </c>
      <c r="AN204" t="s">
        <v>111</v>
      </c>
      <c r="AO204" t="s">
        <v>91</v>
      </c>
      <c r="AP204" t="s">
        <v>74</v>
      </c>
      <c r="AQ204" t="s">
        <v>74</v>
      </c>
      <c r="AR204" t="s">
        <v>93</v>
      </c>
      <c r="AS204" t="s">
        <v>94</v>
      </c>
      <c r="AT204" t="s">
        <v>95</v>
      </c>
      <c r="AU204">
        <v>2008</v>
      </c>
      <c r="AV204">
        <v>43</v>
      </c>
      <c r="AW204">
        <v>7</v>
      </c>
      <c r="AX204" t="s">
        <v>74</v>
      </c>
      <c r="AY204" t="s">
        <v>96</v>
      </c>
      <c r="AZ204" t="s">
        <v>74</v>
      </c>
      <c r="BA204" t="s">
        <v>74</v>
      </c>
      <c r="BB204" t="s">
        <v>1743</v>
      </c>
      <c r="BC204" t="s">
        <v>1743</v>
      </c>
      <c r="BD204" t="s">
        <v>74</v>
      </c>
      <c r="BE204" t="s">
        <v>74</v>
      </c>
      <c r="BF204" t="s">
        <v>74</v>
      </c>
      <c r="BG204" t="s">
        <v>74</v>
      </c>
      <c r="BH204" t="s">
        <v>74</v>
      </c>
      <c r="BI204">
        <v>1</v>
      </c>
      <c r="BJ204" t="s">
        <v>98</v>
      </c>
      <c r="BK204" t="s">
        <v>113</v>
      </c>
      <c r="BL204" t="s">
        <v>98</v>
      </c>
      <c r="BM204" t="s">
        <v>100</v>
      </c>
      <c r="BN204" t="s">
        <v>74</v>
      </c>
      <c r="BO204" t="s">
        <v>74</v>
      </c>
      <c r="BP204" t="s">
        <v>74</v>
      </c>
      <c r="BQ204" t="s">
        <v>74</v>
      </c>
      <c r="BR204" t="s">
        <v>101</v>
      </c>
      <c r="BS204" t="s">
        <v>1744</v>
      </c>
      <c r="BT204" t="str">
        <f>HYPERLINK("https%3A%2F%2Fwww.webofscience.com%2Fwos%2Fwoscc%2Ffull-record%2FWOS:000257683100217","View Full Record in Web of Science")</f>
        <v>View Full Record in Web of Science</v>
      </c>
    </row>
    <row r="205" spans="1:72" x14ac:dyDescent="0.15">
      <c r="A205" t="s">
        <v>72</v>
      </c>
      <c r="B205" t="s">
        <v>1745</v>
      </c>
      <c r="C205" t="s">
        <v>74</v>
      </c>
      <c r="D205" t="s">
        <v>74</v>
      </c>
      <c r="E205" t="s">
        <v>74</v>
      </c>
      <c r="F205" t="s">
        <v>1746</v>
      </c>
      <c r="G205" t="s">
        <v>74</v>
      </c>
      <c r="H205" t="s">
        <v>1747</v>
      </c>
      <c r="I205" t="s">
        <v>1748</v>
      </c>
      <c r="J205" t="s">
        <v>77</v>
      </c>
      <c r="K205" t="s">
        <v>74</v>
      </c>
      <c r="L205" t="s">
        <v>74</v>
      </c>
      <c r="M205" t="s">
        <v>78</v>
      </c>
      <c r="N205" t="s">
        <v>52</v>
      </c>
      <c r="O205" t="s">
        <v>79</v>
      </c>
      <c r="P205" t="s">
        <v>80</v>
      </c>
      <c r="Q205" t="s">
        <v>81</v>
      </c>
      <c r="R205" t="s">
        <v>74</v>
      </c>
      <c r="S205" t="s">
        <v>82</v>
      </c>
      <c r="T205" t="s">
        <v>74</v>
      </c>
      <c r="U205" t="s">
        <v>74</v>
      </c>
      <c r="V205" t="s">
        <v>74</v>
      </c>
      <c r="W205" t="s">
        <v>74</v>
      </c>
      <c r="X205" t="s">
        <v>74</v>
      </c>
      <c r="Y205" t="s">
        <v>74</v>
      </c>
      <c r="Z205" t="s">
        <v>1749</v>
      </c>
      <c r="AA205" t="s">
        <v>74</v>
      </c>
      <c r="AB205" t="s">
        <v>74</v>
      </c>
      <c r="AC205" t="s">
        <v>74</v>
      </c>
      <c r="AD205" t="s">
        <v>74</v>
      </c>
      <c r="AE205" t="s">
        <v>74</v>
      </c>
      <c r="AF205" t="s">
        <v>74</v>
      </c>
      <c r="AG205">
        <v>3</v>
      </c>
      <c r="AH205">
        <v>0</v>
      </c>
      <c r="AI205">
        <v>0</v>
      </c>
      <c r="AJ205">
        <v>0</v>
      </c>
      <c r="AK205">
        <v>0</v>
      </c>
      <c r="AL205" t="s">
        <v>109</v>
      </c>
      <c r="AM205" t="s">
        <v>110</v>
      </c>
      <c r="AN205" t="s">
        <v>111</v>
      </c>
      <c r="AO205" t="s">
        <v>91</v>
      </c>
      <c r="AP205" t="s">
        <v>74</v>
      </c>
      <c r="AQ205" t="s">
        <v>74</v>
      </c>
      <c r="AR205" t="s">
        <v>93</v>
      </c>
      <c r="AS205" t="s">
        <v>94</v>
      </c>
      <c r="AT205" t="s">
        <v>95</v>
      </c>
      <c r="AU205">
        <v>2008</v>
      </c>
      <c r="AV205">
        <v>43</v>
      </c>
      <c r="AW205">
        <v>7</v>
      </c>
      <c r="AX205" t="s">
        <v>74</v>
      </c>
      <c r="AY205" t="s">
        <v>96</v>
      </c>
      <c r="AZ205" t="s">
        <v>74</v>
      </c>
      <c r="BA205" t="s">
        <v>74</v>
      </c>
      <c r="BB205" t="s">
        <v>1743</v>
      </c>
      <c r="BC205" t="s">
        <v>1743</v>
      </c>
      <c r="BD205" t="s">
        <v>74</v>
      </c>
      <c r="BE205" t="s">
        <v>74</v>
      </c>
      <c r="BF205" t="s">
        <v>74</v>
      </c>
      <c r="BG205" t="s">
        <v>74</v>
      </c>
      <c r="BH205" t="s">
        <v>74</v>
      </c>
      <c r="BI205">
        <v>1</v>
      </c>
      <c r="BJ205" t="s">
        <v>98</v>
      </c>
      <c r="BK205" t="s">
        <v>113</v>
      </c>
      <c r="BL205" t="s">
        <v>98</v>
      </c>
      <c r="BM205" t="s">
        <v>100</v>
      </c>
      <c r="BN205" t="s">
        <v>74</v>
      </c>
      <c r="BO205" t="s">
        <v>74</v>
      </c>
      <c r="BP205" t="s">
        <v>74</v>
      </c>
      <c r="BQ205" t="s">
        <v>74</v>
      </c>
      <c r="BR205" t="s">
        <v>101</v>
      </c>
      <c r="BS205" t="s">
        <v>1750</v>
      </c>
      <c r="BT205" t="str">
        <f>HYPERLINK("https%3A%2F%2Fwww.webofscience.com%2Fwos%2Fwoscc%2Ffull-record%2FWOS:000257683100218","View Full Record in Web of Science")</f>
        <v>View Full Record in Web of Science</v>
      </c>
    </row>
    <row r="206" spans="1:72" x14ac:dyDescent="0.15">
      <c r="A206" t="s">
        <v>72</v>
      </c>
      <c r="B206" t="s">
        <v>1751</v>
      </c>
      <c r="C206" t="s">
        <v>74</v>
      </c>
      <c r="D206" t="s">
        <v>74</v>
      </c>
      <c r="E206" t="s">
        <v>74</v>
      </c>
      <c r="F206" t="s">
        <v>1752</v>
      </c>
      <c r="G206" t="s">
        <v>74</v>
      </c>
      <c r="H206" t="s">
        <v>74</v>
      </c>
      <c r="I206" t="s">
        <v>1753</v>
      </c>
      <c r="J206" t="s">
        <v>77</v>
      </c>
      <c r="K206" t="s">
        <v>74</v>
      </c>
      <c r="L206" t="s">
        <v>74</v>
      </c>
      <c r="M206" t="s">
        <v>78</v>
      </c>
      <c r="N206" t="s">
        <v>52</v>
      </c>
      <c r="O206" t="s">
        <v>79</v>
      </c>
      <c r="P206" t="s">
        <v>80</v>
      </c>
      <c r="Q206" t="s">
        <v>81</v>
      </c>
      <c r="R206" t="s">
        <v>74</v>
      </c>
      <c r="S206" t="s">
        <v>82</v>
      </c>
      <c r="T206" t="s">
        <v>74</v>
      </c>
      <c r="U206" t="s">
        <v>1754</v>
      </c>
      <c r="V206" t="s">
        <v>74</v>
      </c>
      <c r="W206" t="s">
        <v>1755</v>
      </c>
      <c r="X206" t="s">
        <v>1756</v>
      </c>
      <c r="Y206" t="s">
        <v>74</v>
      </c>
      <c r="Z206" t="s">
        <v>1757</v>
      </c>
      <c r="AA206" t="s">
        <v>74</v>
      </c>
      <c r="AB206" t="s">
        <v>74</v>
      </c>
      <c r="AC206" t="s">
        <v>74</v>
      </c>
      <c r="AD206" t="s">
        <v>74</v>
      </c>
      <c r="AE206" t="s">
        <v>74</v>
      </c>
      <c r="AF206" t="s">
        <v>74</v>
      </c>
      <c r="AG206">
        <v>6</v>
      </c>
      <c r="AH206">
        <v>10</v>
      </c>
      <c r="AI206">
        <v>12</v>
      </c>
      <c r="AJ206">
        <v>0</v>
      </c>
      <c r="AK206">
        <v>1</v>
      </c>
      <c r="AL206" t="s">
        <v>149</v>
      </c>
      <c r="AM206" t="s">
        <v>150</v>
      </c>
      <c r="AN206" t="s">
        <v>151</v>
      </c>
      <c r="AO206" t="s">
        <v>91</v>
      </c>
      <c r="AP206" t="s">
        <v>74</v>
      </c>
      <c r="AQ206" t="s">
        <v>74</v>
      </c>
      <c r="AR206" t="s">
        <v>93</v>
      </c>
      <c r="AS206" t="s">
        <v>94</v>
      </c>
      <c r="AT206" t="s">
        <v>95</v>
      </c>
      <c r="AU206">
        <v>2008</v>
      </c>
      <c r="AV206">
        <v>43</v>
      </c>
      <c r="AW206">
        <v>7</v>
      </c>
      <c r="AX206" t="s">
        <v>74</v>
      </c>
      <c r="AY206" t="s">
        <v>96</v>
      </c>
      <c r="AZ206" t="s">
        <v>74</v>
      </c>
      <c r="BA206" t="s">
        <v>74</v>
      </c>
      <c r="BB206" t="s">
        <v>1758</v>
      </c>
      <c r="BC206" t="s">
        <v>1758</v>
      </c>
      <c r="BD206" t="s">
        <v>74</v>
      </c>
      <c r="BE206" t="s">
        <v>74</v>
      </c>
      <c r="BF206" t="s">
        <v>74</v>
      </c>
      <c r="BG206" t="s">
        <v>74</v>
      </c>
      <c r="BH206" t="s">
        <v>74</v>
      </c>
      <c r="BI206">
        <v>1</v>
      </c>
      <c r="BJ206" t="s">
        <v>98</v>
      </c>
      <c r="BK206" t="s">
        <v>99</v>
      </c>
      <c r="BL206" t="s">
        <v>98</v>
      </c>
      <c r="BM206" t="s">
        <v>100</v>
      </c>
      <c r="BN206" t="s">
        <v>74</v>
      </c>
      <c r="BO206" t="s">
        <v>74</v>
      </c>
      <c r="BP206" t="s">
        <v>74</v>
      </c>
      <c r="BQ206" t="s">
        <v>74</v>
      </c>
      <c r="BR206" t="s">
        <v>101</v>
      </c>
      <c r="BS206" t="s">
        <v>1759</v>
      </c>
      <c r="BT206" t="str">
        <f>HYPERLINK("https%3A%2F%2Fwww.webofscience.com%2Fwos%2Fwoscc%2Ffull-record%2FWOS:000257683100219","View Full Record in Web of Science")</f>
        <v>View Full Record in Web of Science</v>
      </c>
    </row>
    <row r="207" spans="1:72" x14ac:dyDescent="0.15">
      <c r="A207" t="s">
        <v>72</v>
      </c>
      <c r="B207" t="s">
        <v>1760</v>
      </c>
      <c r="C207" t="s">
        <v>74</v>
      </c>
      <c r="D207" t="s">
        <v>74</v>
      </c>
      <c r="E207" t="s">
        <v>74</v>
      </c>
      <c r="F207" t="s">
        <v>1761</v>
      </c>
      <c r="G207" t="s">
        <v>74</v>
      </c>
      <c r="H207" t="s">
        <v>74</v>
      </c>
      <c r="I207" t="s">
        <v>1762</v>
      </c>
      <c r="J207" t="s">
        <v>77</v>
      </c>
      <c r="K207" t="s">
        <v>74</v>
      </c>
      <c r="L207" t="s">
        <v>74</v>
      </c>
      <c r="M207" t="s">
        <v>78</v>
      </c>
      <c r="N207" t="s">
        <v>52</v>
      </c>
      <c r="O207" t="s">
        <v>79</v>
      </c>
      <c r="P207" t="s">
        <v>80</v>
      </c>
      <c r="Q207" t="s">
        <v>81</v>
      </c>
      <c r="R207" t="s">
        <v>74</v>
      </c>
      <c r="S207" t="s">
        <v>82</v>
      </c>
      <c r="T207" t="s">
        <v>74</v>
      </c>
      <c r="U207" t="s">
        <v>74</v>
      </c>
      <c r="V207" t="s">
        <v>74</v>
      </c>
      <c r="W207" t="s">
        <v>1763</v>
      </c>
      <c r="X207" t="s">
        <v>928</v>
      </c>
      <c r="Y207" t="s">
        <v>74</v>
      </c>
      <c r="Z207" t="s">
        <v>1764</v>
      </c>
      <c r="AA207" t="s">
        <v>74</v>
      </c>
      <c r="AB207" t="s">
        <v>74</v>
      </c>
      <c r="AC207" t="s">
        <v>74</v>
      </c>
      <c r="AD207" t="s">
        <v>74</v>
      </c>
      <c r="AE207" t="s">
        <v>74</v>
      </c>
      <c r="AF207" t="s">
        <v>74</v>
      </c>
      <c r="AG207">
        <v>2</v>
      </c>
      <c r="AH207">
        <v>0</v>
      </c>
      <c r="AI207">
        <v>0</v>
      </c>
      <c r="AJ207">
        <v>0</v>
      </c>
      <c r="AK207">
        <v>0</v>
      </c>
      <c r="AL207" t="s">
        <v>109</v>
      </c>
      <c r="AM207" t="s">
        <v>110</v>
      </c>
      <c r="AN207" t="s">
        <v>111</v>
      </c>
      <c r="AO207" t="s">
        <v>91</v>
      </c>
      <c r="AP207" t="s">
        <v>74</v>
      </c>
      <c r="AQ207" t="s">
        <v>74</v>
      </c>
      <c r="AR207" t="s">
        <v>93</v>
      </c>
      <c r="AS207" t="s">
        <v>94</v>
      </c>
      <c r="AT207" t="s">
        <v>95</v>
      </c>
      <c r="AU207">
        <v>2008</v>
      </c>
      <c r="AV207">
        <v>43</v>
      </c>
      <c r="AW207">
        <v>7</v>
      </c>
      <c r="AX207" t="s">
        <v>74</v>
      </c>
      <c r="AY207" t="s">
        <v>96</v>
      </c>
      <c r="AZ207" t="s">
        <v>74</v>
      </c>
      <c r="BA207" t="s">
        <v>74</v>
      </c>
      <c r="BB207" t="s">
        <v>1758</v>
      </c>
      <c r="BC207" t="s">
        <v>1758</v>
      </c>
      <c r="BD207" t="s">
        <v>74</v>
      </c>
      <c r="BE207" t="s">
        <v>74</v>
      </c>
      <c r="BF207" t="s">
        <v>74</v>
      </c>
      <c r="BG207" t="s">
        <v>74</v>
      </c>
      <c r="BH207" t="s">
        <v>74</v>
      </c>
      <c r="BI207">
        <v>1</v>
      </c>
      <c r="BJ207" t="s">
        <v>98</v>
      </c>
      <c r="BK207" t="s">
        <v>113</v>
      </c>
      <c r="BL207" t="s">
        <v>98</v>
      </c>
      <c r="BM207" t="s">
        <v>100</v>
      </c>
      <c r="BN207" t="s">
        <v>74</v>
      </c>
      <c r="BO207" t="s">
        <v>74</v>
      </c>
      <c r="BP207" t="s">
        <v>74</v>
      </c>
      <c r="BQ207" t="s">
        <v>74</v>
      </c>
      <c r="BR207" t="s">
        <v>101</v>
      </c>
      <c r="BS207" t="s">
        <v>1765</v>
      </c>
      <c r="BT207" t="str">
        <f>HYPERLINK("https%3A%2F%2Fwww.webofscience.com%2Fwos%2Fwoscc%2Ffull-record%2FWOS:000257683100220","View Full Record in Web of Science")</f>
        <v>View Full Record in Web of Science</v>
      </c>
    </row>
    <row r="208" spans="1:72" x14ac:dyDescent="0.15">
      <c r="A208" t="s">
        <v>72</v>
      </c>
      <c r="B208" t="s">
        <v>1766</v>
      </c>
      <c r="C208" t="s">
        <v>74</v>
      </c>
      <c r="D208" t="s">
        <v>74</v>
      </c>
      <c r="E208" t="s">
        <v>74</v>
      </c>
      <c r="F208" t="s">
        <v>1767</v>
      </c>
      <c r="G208" t="s">
        <v>74</v>
      </c>
      <c r="H208" t="s">
        <v>74</v>
      </c>
      <c r="I208" t="s">
        <v>1768</v>
      </c>
      <c r="J208" t="s">
        <v>77</v>
      </c>
      <c r="K208" t="s">
        <v>74</v>
      </c>
      <c r="L208" t="s">
        <v>74</v>
      </c>
      <c r="M208" t="s">
        <v>78</v>
      </c>
      <c r="N208" t="s">
        <v>52</v>
      </c>
      <c r="O208" t="s">
        <v>79</v>
      </c>
      <c r="P208" t="s">
        <v>80</v>
      </c>
      <c r="Q208" t="s">
        <v>81</v>
      </c>
      <c r="R208" t="s">
        <v>74</v>
      </c>
      <c r="S208" t="s">
        <v>82</v>
      </c>
      <c r="T208" t="s">
        <v>74</v>
      </c>
      <c r="U208" t="s">
        <v>1769</v>
      </c>
      <c r="V208" t="s">
        <v>74</v>
      </c>
      <c r="W208" t="s">
        <v>1770</v>
      </c>
      <c r="X208" t="s">
        <v>1028</v>
      </c>
      <c r="Y208" t="s">
        <v>74</v>
      </c>
      <c r="Z208" t="s">
        <v>1771</v>
      </c>
      <c r="AA208" t="s">
        <v>74</v>
      </c>
      <c r="AB208" t="s">
        <v>74</v>
      </c>
      <c r="AC208" t="s">
        <v>74</v>
      </c>
      <c r="AD208" t="s">
        <v>74</v>
      </c>
      <c r="AE208" t="s">
        <v>74</v>
      </c>
      <c r="AF208" t="s">
        <v>74</v>
      </c>
      <c r="AG208">
        <v>8</v>
      </c>
      <c r="AH208">
        <v>0</v>
      </c>
      <c r="AI208">
        <v>0</v>
      </c>
      <c r="AJ208">
        <v>0</v>
      </c>
      <c r="AK208">
        <v>1</v>
      </c>
      <c r="AL208" t="s">
        <v>109</v>
      </c>
      <c r="AM208" t="s">
        <v>110</v>
      </c>
      <c r="AN208" t="s">
        <v>111</v>
      </c>
      <c r="AO208" t="s">
        <v>91</v>
      </c>
      <c r="AP208" t="s">
        <v>74</v>
      </c>
      <c r="AQ208" t="s">
        <v>74</v>
      </c>
      <c r="AR208" t="s">
        <v>93</v>
      </c>
      <c r="AS208" t="s">
        <v>94</v>
      </c>
      <c r="AT208" t="s">
        <v>95</v>
      </c>
      <c r="AU208">
        <v>2008</v>
      </c>
      <c r="AV208">
        <v>43</v>
      </c>
      <c r="AW208">
        <v>7</v>
      </c>
      <c r="AX208" t="s">
        <v>74</v>
      </c>
      <c r="AY208" t="s">
        <v>96</v>
      </c>
      <c r="AZ208" t="s">
        <v>74</v>
      </c>
      <c r="BA208" t="s">
        <v>74</v>
      </c>
      <c r="BB208" t="s">
        <v>1772</v>
      </c>
      <c r="BC208" t="s">
        <v>1772</v>
      </c>
      <c r="BD208" t="s">
        <v>74</v>
      </c>
      <c r="BE208" t="s">
        <v>74</v>
      </c>
      <c r="BF208" t="s">
        <v>74</v>
      </c>
      <c r="BG208" t="s">
        <v>74</v>
      </c>
      <c r="BH208" t="s">
        <v>74</v>
      </c>
      <c r="BI208">
        <v>1</v>
      </c>
      <c r="BJ208" t="s">
        <v>98</v>
      </c>
      <c r="BK208" t="s">
        <v>113</v>
      </c>
      <c r="BL208" t="s">
        <v>98</v>
      </c>
      <c r="BM208" t="s">
        <v>100</v>
      </c>
      <c r="BN208" t="s">
        <v>74</v>
      </c>
      <c r="BO208" t="s">
        <v>74</v>
      </c>
      <c r="BP208" t="s">
        <v>74</v>
      </c>
      <c r="BQ208" t="s">
        <v>74</v>
      </c>
      <c r="BR208" t="s">
        <v>101</v>
      </c>
      <c r="BS208" t="s">
        <v>1773</v>
      </c>
      <c r="BT208" t="str">
        <f>HYPERLINK("https%3A%2F%2Fwww.webofscience.com%2Fwos%2Fwoscc%2Ffull-record%2FWOS:000257683100221","View Full Record in Web of Science")</f>
        <v>View Full Record in Web of Science</v>
      </c>
    </row>
    <row r="209" spans="1:72" x14ac:dyDescent="0.15">
      <c r="A209" t="s">
        <v>72</v>
      </c>
      <c r="B209" t="s">
        <v>1774</v>
      </c>
      <c r="C209" t="s">
        <v>74</v>
      </c>
      <c r="D209" t="s">
        <v>74</v>
      </c>
      <c r="E209" t="s">
        <v>74</v>
      </c>
      <c r="F209" t="s">
        <v>1775</v>
      </c>
      <c r="G209" t="s">
        <v>74</v>
      </c>
      <c r="H209" t="s">
        <v>74</v>
      </c>
      <c r="I209" t="s">
        <v>1776</v>
      </c>
      <c r="J209" t="s">
        <v>77</v>
      </c>
      <c r="K209" t="s">
        <v>74</v>
      </c>
      <c r="L209" t="s">
        <v>74</v>
      </c>
      <c r="M209" t="s">
        <v>78</v>
      </c>
      <c r="N209" t="s">
        <v>52</v>
      </c>
      <c r="O209" t="s">
        <v>79</v>
      </c>
      <c r="P209" t="s">
        <v>80</v>
      </c>
      <c r="Q209" t="s">
        <v>81</v>
      </c>
      <c r="R209" t="s">
        <v>74</v>
      </c>
      <c r="S209" t="s">
        <v>82</v>
      </c>
      <c r="T209" t="s">
        <v>74</v>
      </c>
      <c r="U209" t="s">
        <v>74</v>
      </c>
      <c r="V209" t="s">
        <v>74</v>
      </c>
      <c r="W209" t="s">
        <v>1777</v>
      </c>
      <c r="X209" t="s">
        <v>1778</v>
      </c>
      <c r="Y209" t="s">
        <v>74</v>
      </c>
      <c r="Z209" t="s">
        <v>1779</v>
      </c>
      <c r="AA209" t="s">
        <v>1780</v>
      </c>
      <c r="AB209" t="s">
        <v>1781</v>
      </c>
      <c r="AC209" t="s">
        <v>74</v>
      </c>
      <c r="AD209" t="s">
        <v>74</v>
      </c>
      <c r="AE209" t="s">
        <v>74</v>
      </c>
      <c r="AF209" t="s">
        <v>74</v>
      </c>
      <c r="AG209">
        <v>4</v>
      </c>
      <c r="AH209">
        <v>0</v>
      </c>
      <c r="AI209">
        <v>0</v>
      </c>
      <c r="AJ209">
        <v>0</v>
      </c>
      <c r="AK209">
        <v>0</v>
      </c>
      <c r="AL209" t="s">
        <v>149</v>
      </c>
      <c r="AM209" t="s">
        <v>89</v>
      </c>
      <c r="AN209" t="s">
        <v>90</v>
      </c>
      <c r="AO209" t="s">
        <v>91</v>
      </c>
      <c r="AP209" t="s">
        <v>92</v>
      </c>
      <c r="AQ209" t="s">
        <v>74</v>
      </c>
      <c r="AR209" t="s">
        <v>93</v>
      </c>
      <c r="AS209" t="s">
        <v>94</v>
      </c>
      <c r="AT209" t="s">
        <v>95</v>
      </c>
      <c r="AU209">
        <v>2008</v>
      </c>
      <c r="AV209">
        <v>43</v>
      </c>
      <c r="AW209">
        <v>7</v>
      </c>
      <c r="AX209" t="s">
        <v>74</v>
      </c>
      <c r="AY209" t="s">
        <v>96</v>
      </c>
      <c r="AZ209" t="s">
        <v>74</v>
      </c>
      <c r="BA209" t="s">
        <v>74</v>
      </c>
      <c r="BB209" t="s">
        <v>1772</v>
      </c>
      <c r="BC209" t="s">
        <v>1772</v>
      </c>
      <c r="BD209" t="s">
        <v>74</v>
      </c>
      <c r="BE209" t="s">
        <v>74</v>
      </c>
      <c r="BF209" t="s">
        <v>74</v>
      </c>
      <c r="BG209" t="s">
        <v>74</v>
      </c>
      <c r="BH209" t="s">
        <v>74</v>
      </c>
      <c r="BI209">
        <v>1</v>
      </c>
      <c r="BJ209" t="s">
        <v>98</v>
      </c>
      <c r="BK209" t="s">
        <v>99</v>
      </c>
      <c r="BL209" t="s">
        <v>98</v>
      </c>
      <c r="BM209" t="s">
        <v>100</v>
      </c>
      <c r="BN209" t="s">
        <v>74</v>
      </c>
      <c r="BO209" t="s">
        <v>74</v>
      </c>
      <c r="BP209" t="s">
        <v>74</v>
      </c>
      <c r="BQ209" t="s">
        <v>74</v>
      </c>
      <c r="BR209" t="s">
        <v>101</v>
      </c>
      <c r="BS209" t="s">
        <v>1782</v>
      </c>
      <c r="BT209" t="str">
        <f>HYPERLINK("https%3A%2F%2Fwww.webofscience.com%2Fwos%2Fwoscc%2Ffull-record%2FWOS:000257683100222","View Full Record in Web of Science")</f>
        <v>View Full Record in Web of Science</v>
      </c>
    </row>
    <row r="210" spans="1:72" x14ac:dyDescent="0.15">
      <c r="A210" t="s">
        <v>72</v>
      </c>
      <c r="B210" t="s">
        <v>1783</v>
      </c>
      <c r="C210" t="s">
        <v>74</v>
      </c>
      <c r="D210" t="s">
        <v>74</v>
      </c>
      <c r="E210" t="s">
        <v>74</v>
      </c>
      <c r="F210" t="s">
        <v>1784</v>
      </c>
      <c r="G210" t="s">
        <v>74</v>
      </c>
      <c r="H210" t="s">
        <v>74</v>
      </c>
      <c r="I210" t="s">
        <v>1785</v>
      </c>
      <c r="J210" t="s">
        <v>77</v>
      </c>
      <c r="K210" t="s">
        <v>74</v>
      </c>
      <c r="L210" t="s">
        <v>74</v>
      </c>
      <c r="M210" t="s">
        <v>78</v>
      </c>
      <c r="N210" t="s">
        <v>52</v>
      </c>
      <c r="O210" t="s">
        <v>79</v>
      </c>
      <c r="P210" t="s">
        <v>80</v>
      </c>
      <c r="Q210" t="s">
        <v>81</v>
      </c>
      <c r="R210" t="s">
        <v>74</v>
      </c>
      <c r="S210" t="s">
        <v>82</v>
      </c>
      <c r="T210" t="s">
        <v>74</v>
      </c>
      <c r="U210" t="s">
        <v>1786</v>
      </c>
      <c r="V210" t="s">
        <v>74</v>
      </c>
      <c r="W210" t="s">
        <v>1787</v>
      </c>
      <c r="X210" t="s">
        <v>1788</v>
      </c>
      <c r="Y210" t="s">
        <v>74</v>
      </c>
      <c r="Z210" t="s">
        <v>74</v>
      </c>
      <c r="AA210" t="s">
        <v>1789</v>
      </c>
      <c r="AB210" t="s">
        <v>1790</v>
      </c>
      <c r="AC210" t="s">
        <v>74</v>
      </c>
      <c r="AD210" t="s">
        <v>74</v>
      </c>
      <c r="AE210" t="s">
        <v>74</v>
      </c>
      <c r="AF210" t="s">
        <v>74</v>
      </c>
      <c r="AG210">
        <v>7</v>
      </c>
      <c r="AH210">
        <v>1</v>
      </c>
      <c r="AI210">
        <v>1</v>
      </c>
      <c r="AJ210">
        <v>0</v>
      </c>
      <c r="AK210">
        <v>0</v>
      </c>
      <c r="AL210" t="s">
        <v>88</v>
      </c>
      <c r="AM210" t="s">
        <v>89</v>
      </c>
      <c r="AN210" t="s">
        <v>90</v>
      </c>
      <c r="AO210" t="s">
        <v>91</v>
      </c>
      <c r="AP210" t="s">
        <v>92</v>
      </c>
      <c r="AQ210" t="s">
        <v>74</v>
      </c>
      <c r="AR210" t="s">
        <v>93</v>
      </c>
      <c r="AS210" t="s">
        <v>94</v>
      </c>
      <c r="AT210" t="s">
        <v>95</v>
      </c>
      <c r="AU210">
        <v>2008</v>
      </c>
      <c r="AV210">
        <v>43</v>
      </c>
      <c r="AW210">
        <v>7</v>
      </c>
      <c r="AX210" t="s">
        <v>74</v>
      </c>
      <c r="AY210" t="s">
        <v>96</v>
      </c>
      <c r="AZ210" t="s">
        <v>74</v>
      </c>
      <c r="BA210" t="s">
        <v>74</v>
      </c>
      <c r="BB210" t="s">
        <v>1791</v>
      </c>
      <c r="BC210" t="s">
        <v>1791</v>
      </c>
      <c r="BD210" t="s">
        <v>74</v>
      </c>
      <c r="BE210" t="s">
        <v>74</v>
      </c>
      <c r="BF210" t="s">
        <v>74</v>
      </c>
      <c r="BG210" t="s">
        <v>74</v>
      </c>
      <c r="BH210" t="s">
        <v>74</v>
      </c>
      <c r="BI210">
        <v>1</v>
      </c>
      <c r="BJ210" t="s">
        <v>98</v>
      </c>
      <c r="BK210" t="s">
        <v>99</v>
      </c>
      <c r="BL210" t="s">
        <v>98</v>
      </c>
      <c r="BM210" t="s">
        <v>100</v>
      </c>
      <c r="BN210" t="s">
        <v>74</v>
      </c>
      <c r="BO210" t="s">
        <v>74</v>
      </c>
      <c r="BP210" t="s">
        <v>74</v>
      </c>
      <c r="BQ210" t="s">
        <v>74</v>
      </c>
      <c r="BR210" t="s">
        <v>101</v>
      </c>
      <c r="BS210" t="s">
        <v>1792</v>
      </c>
      <c r="BT210" t="str">
        <f>HYPERLINK("https%3A%2F%2Fwww.webofscience.com%2Fwos%2Fwoscc%2Ffull-record%2FWOS:000257683100223","View Full Record in Web of Science")</f>
        <v>View Full Record in Web of Science</v>
      </c>
    </row>
    <row r="211" spans="1:72" x14ac:dyDescent="0.15">
      <c r="A211" t="s">
        <v>72</v>
      </c>
      <c r="B211" t="s">
        <v>1793</v>
      </c>
      <c r="C211" t="s">
        <v>74</v>
      </c>
      <c r="D211" t="s">
        <v>74</v>
      </c>
      <c r="E211" t="s">
        <v>74</v>
      </c>
      <c r="F211" t="s">
        <v>1794</v>
      </c>
      <c r="G211" t="s">
        <v>74</v>
      </c>
      <c r="H211" t="s">
        <v>74</v>
      </c>
      <c r="I211" t="s">
        <v>1795</v>
      </c>
      <c r="J211" t="s">
        <v>77</v>
      </c>
      <c r="K211" t="s">
        <v>74</v>
      </c>
      <c r="L211" t="s">
        <v>74</v>
      </c>
      <c r="M211" t="s">
        <v>78</v>
      </c>
      <c r="N211" t="s">
        <v>52</v>
      </c>
      <c r="O211" t="s">
        <v>79</v>
      </c>
      <c r="P211" t="s">
        <v>80</v>
      </c>
      <c r="Q211" t="s">
        <v>81</v>
      </c>
      <c r="R211" t="s">
        <v>74</v>
      </c>
      <c r="S211" t="s">
        <v>82</v>
      </c>
      <c r="T211" t="s">
        <v>74</v>
      </c>
      <c r="U211" t="s">
        <v>1796</v>
      </c>
      <c r="V211" t="s">
        <v>74</v>
      </c>
      <c r="W211" t="s">
        <v>1797</v>
      </c>
      <c r="X211" t="s">
        <v>1798</v>
      </c>
      <c r="Y211" t="s">
        <v>74</v>
      </c>
      <c r="Z211" t="s">
        <v>1799</v>
      </c>
      <c r="AA211" t="s">
        <v>74</v>
      </c>
      <c r="AB211" t="s">
        <v>74</v>
      </c>
      <c r="AC211" t="s">
        <v>74</v>
      </c>
      <c r="AD211" t="s">
        <v>74</v>
      </c>
      <c r="AE211" t="s">
        <v>74</v>
      </c>
      <c r="AF211" t="s">
        <v>74</v>
      </c>
      <c r="AG211">
        <v>7</v>
      </c>
      <c r="AH211">
        <v>0</v>
      </c>
      <c r="AI211">
        <v>0</v>
      </c>
      <c r="AJ211">
        <v>0</v>
      </c>
      <c r="AK211">
        <v>0</v>
      </c>
      <c r="AL211" t="s">
        <v>149</v>
      </c>
      <c r="AM211" t="s">
        <v>150</v>
      </c>
      <c r="AN211" t="s">
        <v>151</v>
      </c>
      <c r="AO211" t="s">
        <v>91</v>
      </c>
      <c r="AP211" t="s">
        <v>74</v>
      </c>
      <c r="AQ211" t="s">
        <v>74</v>
      </c>
      <c r="AR211" t="s">
        <v>93</v>
      </c>
      <c r="AS211" t="s">
        <v>94</v>
      </c>
      <c r="AT211" t="s">
        <v>95</v>
      </c>
      <c r="AU211">
        <v>2008</v>
      </c>
      <c r="AV211">
        <v>43</v>
      </c>
      <c r="AW211">
        <v>7</v>
      </c>
      <c r="AX211" t="s">
        <v>74</v>
      </c>
      <c r="AY211" t="s">
        <v>96</v>
      </c>
      <c r="AZ211" t="s">
        <v>74</v>
      </c>
      <c r="BA211" t="s">
        <v>74</v>
      </c>
      <c r="BB211" t="s">
        <v>1791</v>
      </c>
      <c r="BC211" t="s">
        <v>1791</v>
      </c>
      <c r="BD211" t="s">
        <v>74</v>
      </c>
      <c r="BE211" t="s">
        <v>74</v>
      </c>
      <c r="BF211" t="s">
        <v>74</v>
      </c>
      <c r="BG211" t="s">
        <v>74</v>
      </c>
      <c r="BH211" t="s">
        <v>74</v>
      </c>
      <c r="BI211">
        <v>1</v>
      </c>
      <c r="BJ211" t="s">
        <v>98</v>
      </c>
      <c r="BK211" t="s">
        <v>99</v>
      </c>
      <c r="BL211" t="s">
        <v>98</v>
      </c>
      <c r="BM211" t="s">
        <v>100</v>
      </c>
      <c r="BN211" t="s">
        <v>74</v>
      </c>
      <c r="BO211" t="s">
        <v>74</v>
      </c>
      <c r="BP211" t="s">
        <v>74</v>
      </c>
      <c r="BQ211" t="s">
        <v>74</v>
      </c>
      <c r="BR211" t="s">
        <v>101</v>
      </c>
      <c r="BS211" t="s">
        <v>1800</v>
      </c>
      <c r="BT211" t="str">
        <f>HYPERLINK("https%3A%2F%2Fwww.webofscience.com%2Fwos%2Fwoscc%2Ffull-record%2FWOS:000257683100224","View Full Record in Web of Science")</f>
        <v>View Full Record in Web of Science</v>
      </c>
    </row>
    <row r="212" spans="1:72" x14ac:dyDescent="0.15">
      <c r="A212" t="s">
        <v>72</v>
      </c>
      <c r="B212" t="s">
        <v>1801</v>
      </c>
      <c r="C212" t="s">
        <v>74</v>
      </c>
      <c r="D212" t="s">
        <v>74</v>
      </c>
      <c r="E212" t="s">
        <v>74</v>
      </c>
      <c r="F212" t="s">
        <v>1802</v>
      </c>
      <c r="G212" t="s">
        <v>74</v>
      </c>
      <c r="H212" t="s">
        <v>74</v>
      </c>
      <c r="I212" t="s">
        <v>1803</v>
      </c>
      <c r="J212" t="s">
        <v>77</v>
      </c>
      <c r="K212" t="s">
        <v>74</v>
      </c>
      <c r="L212" t="s">
        <v>74</v>
      </c>
      <c r="M212" t="s">
        <v>78</v>
      </c>
      <c r="N212" t="s">
        <v>52</v>
      </c>
      <c r="O212" t="s">
        <v>79</v>
      </c>
      <c r="P212" t="s">
        <v>80</v>
      </c>
      <c r="Q212" t="s">
        <v>81</v>
      </c>
      <c r="R212" t="s">
        <v>74</v>
      </c>
      <c r="S212" t="s">
        <v>82</v>
      </c>
      <c r="T212" t="s">
        <v>74</v>
      </c>
      <c r="U212" t="s">
        <v>74</v>
      </c>
      <c r="V212" t="s">
        <v>74</v>
      </c>
      <c r="W212" t="s">
        <v>1804</v>
      </c>
      <c r="X212" t="s">
        <v>1805</v>
      </c>
      <c r="Y212" t="s">
        <v>74</v>
      </c>
      <c r="Z212" t="s">
        <v>1806</v>
      </c>
      <c r="AA212" t="s">
        <v>1807</v>
      </c>
      <c r="AB212" t="s">
        <v>1808</v>
      </c>
      <c r="AC212" t="s">
        <v>74</v>
      </c>
      <c r="AD212" t="s">
        <v>74</v>
      </c>
      <c r="AE212" t="s">
        <v>74</v>
      </c>
      <c r="AF212" t="s">
        <v>74</v>
      </c>
      <c r="AG212">
        <v>4</v>
      </c>
      <c r="AH212">
        <v>0</v>
      </c>
      <c r="AI212">
        <v>0</v>
      </c>
      <c r="AJ212">
        <v>0</v>
      </c>
      <c r="AK212">
        <v>0</v>
      </c>
      <c r="AL212" t="s">
        <v>109</v>
      </c>
      <c r="AM212" t="s">
        <v>110</v>
      </c>
      <c r="AN212" t="s">
        <v>111</v>
      </c>
      <c r="AO212" t="s">
        <v>91</v>
      </c>
      <c r="AP212" t="s">
        <v>74</v>
      </c>
      <c r="AQ212" t="s">
        <v>74</v>
      </c>
      <c r="AR212" t="s">
        <v>93</v>
      </c>
      <c r="AS212" t="s">
        <v>94</v>
      </c>
      <c r="AT212" t="s">
        <v>95</v>
      </c>
      <c r="AU212">
        <v>2008</v>
      </c>
      <c r="AV212">
        <v>43</v>
      </c>
      <c r="AW212">
        <v>7</v>
      </c>
      <c r="AX212" t="s">
        <v>74</v>
      </c>
      <c r="AY212" t="s">
        <v>96</v>
      </c>
      <c r="AZ212" t="s">
        <v>74</v>
      </c>
      <c r="BA212" t="s">
        <v>74</v>
      </c>
      <c r="BB212" t="s">
        <v>1809</v>
      </c>
      <c r="BC212" t="s">
        <v>1809</v>
      </c>
      <c r="BD212" t="s">
        <v>74</v>
      </c>
      <c r="BE212" t="s">
        <v>74</v>
      </c>
      <c r="BF212" t="s">
        <v>74</v>
      </c>
      <c r="BG212" t="s">
        <v>74</v>
      </c>
      <c r="BH212" t="s">
        <v>74</v>
      </c>
      <c r="BI212">
        <v>1</v>
      </c>
      <c r="BJ212" t="s">
        <v>98</v>
      </c>
      <c r="BK212" t="s">
        <v>113</v>
      </c>
      <c r="BL212" t="s">
        <v>98</v>
      </c>
      <c r="BM212" t="s">
        <v>100</v>
      </c>
      <c r="BN212" t="s">
        <v>74</v>
      </c>
      <c r="BO212" t="s">
        <v>74</v>
      </c>
      <c r="BP212" t="s">
        <v>74</v>
      </c>
      <c r="BQ212" t="s">
        <v>74</v>
      </c>
      <c r="BR212" t="s">
        <v>101</v>
      </c>
      <c r="BS212" t="s">
        <v>1810</v>
      </c>
      <c r="BT212" t="str">
        <f>HYPERLINK("https%3A%2F%2Fwww.webofscience.com%2Fwos%2Fwoscc%2Ffull-record%2FWOS:000257683100225","View Full Record in Web of Science")</f>
        <v>View Full Record in Web of Science</v>
      </c>
    </row>
    <row r="213" spans="1:72" x14ac:dyDescent="0.15">
      <c r="A213" t="s">
        <v>72</v>
      </c>
      <c r="B213" t="s">
        <v>1811</v>
      </c>
      <c r="C213" t="s">
        <v>74</v>
      </c>
      <c r="D213" t="s">
        <v>74</v>
      </c>
      <c r="E213" t="s">
        <v>74</v>
      </c>
      <c r="F213" t="s">
        <v>1812</v>
      </c>
      <c r="G213" t="s">
        <v>74</v>
      </c>
      <c r="H213" t="s">
        <v>74</v>
      </c>
      <c r="I213" t="s">
        <v>1813</v>
      </c>
      <c r="J213" t="s">
        <v>77</v>
      </c>
      <c r="K213" t="s">
        <v>74</v>
      </c>
      <c r="L213" t="s">
        <v>74</v>
      </c>
      <c r="M213" t="s">
        <v>78</v>
      </c>
      <c r="N213" t="s">
        <v>52</v>
      </c>
      <c r="O213" t="s">
        <v>79</v>
      </c>
      <c r="P213" t="s">
        <v>80</v>
      </c>
      <c r="Q213" t="s">
        <v>81</v>
      </c>
      <c r="R213" t="s">
        <v>74</v>
      </c>
      <c r="S213" t="s">
        <v>82</v>
      </c>
      <c r="T213" t="s">
        <v>74</v>
      </c>
      <c r="U213" t="s">
        <v>74</v>
      </c>
      <c r="V213" t="s">
        <v>74</v>
      </c>
      <c r="W213" t="s">
        <v>1814</v>
      </c>
      <c r="X213" t="s">
        <v>1815</v>
      </c>
      <c r="Y213" t="s">
        <v>74</v>
      </c>
      <c r="Z213" t="s">
        <v>1816</v>
      </c>
      <c r="AA213" t="s">
        <v>74</v>
      </c>
      <c r="AB213" t="s">
        <v>74</v>
      </c>
      <c r="AC213" t="s">
        <v>74</v>
      </c>
      <c r="AD213" t="s">
        <v>74</v>
      </c>
      <c r="AE213" t="s">
        <v>74</v>
      </c>
      <c r="AF213" t="s">
        <v>74</v>
      </c>
      <c r="AG213">
        <v>1</v>
      </c>
      <c r="AH213">
        <v>0</v>
      </c>
      <c r="AI213">
        <v>0</v>
      </c>
      <c r="AJ213">
        <v>0</v>
      </c>
      <c r="AK213">
        <v>0</v>
      </c>
      <c r="AL213" t="s">
        <v>109</v>
      </c>
      <c r="AM213" t="s">
        <v>110</v>
      </c>
      <c r="AN213" t="s">
        <v>111</v>
      </c>
      <c r="AO213" t="s">
        <v>91</v>
      </c>
      <c r="AP213" t="s">
        <v>74</v>
      </c>
      <c r="AQ213" t="s">
        <v>74</v>
      </c>
      <c r="AR213" t="s">
        <v>93</v>
      </c>
      <c r="AS213" t="s">
        <v>94</v>
      </c>
      <c r="AT213" t="s">
        <v>95</v>
      </c>
      <c r="AU213">
        <v>2008</v>
      </c>
      <c r="AV213">
        <v>43</v>
      </c>
      <c r="AW213">
        <v>7</v>
      </c>
      <c r="AX213" t="s">
        <v>74</v>
      </c>
      <c r="AY213" t="s">
        <v>96</v>
      </c>
      <c r="AZ213" t="s">
        <v>74</v>
      </c>
      <c r="BA213" t="s">
        <v>74</v>
      </c>
      <c r="BB213" t="s">
        <v>1809</v>
      </c>
      <c r="BC213" t="s">
        <v>1809</v>
      </c>
      <c r="BD213" t="s">
        <v>74</v>
      </c>
      <c r="BE213" t="s">
        <v>74</v>
      </c>
      <c r="BF213" t="s">
        <v>74</v>
      </c>
      <c r="BG213" t="s">
        <v>74</v>
      </c>
      <c r="BH213" t="s">
        <v>74</v>
      </c>
      <c r="BI213">
        <v>1</v>
      </c>
      <c r="BJ213" t="s">
        <v>98</v>
      </c>
      <c r="BK213" t="s">
        <v>113</v>
      </c>
      <c r="BL213" t="s">
        <v>98</v>
      </c>
      <c r="BM213" t="s">
        <v>100</v>
      </c>
      <c r="BN213" t="s">
        <v>74</v>
      </c>
      <c r="BO213" t="s">
        <v>74</v>
      </c>
      <c r="BP213" t="s">
        <v>74</v>
      </c>
      <c r="BQ213" t="s">
        <v>74</v>
      </c>
      <c r="BR213" t="s">
        <v>101</v>
      </c>
      <c r="BS213" t="s">
        <v>1817</v>
      </c>
      <c r="BT213" t="str">
        <f>HYPERLINK("https%3A%2F%2Fwww.webofscience.com%2Fwos%2Fwoscc%2Ffull-record%2FWOS:000257683100226","View Full Record in Web of Science")</f>
        <v>View Full Record in Web of Science</v>
      </c>
    </row>
    <row r="214" spans="1:72" x14ac:dyDescent="0.15">
      <c r="A214" t="s">
        <v>72</v>
      </c>
      <c r="B214" t="s">
        <v>1818</v>
      </c>
      <c r="C214" t="s">
        <v>74</v>
      </c>
      <c r="D214" t="s">
        <v>74</v>
      </c>
      <c r="E214" t="s">
        <v>74</v>
      </c>
      <c r="F214" t="s">
        <v>1819</v>
      </c>
      <c r="G214" t="s">
        <v>74</v>
      </c>
      <c r="H214" t="s">
        <v>74</v>
      </c>
      <c r="I214" t="s">
        <v>1820</v>
      </c>
      <c r="J214" t="s">
        <v>77</v>
      </c>
      <c r="K214" t="s">
        <v>74</v>
      </c>
      <c r="L214" t="s">
        <v>74</v>
      </c>
      <c r="M214" t="s">
        <v>78</v>
      </c>
      <c r="N214" t="s">
        <v>52</v>
      </c>
      <c r="O214" t="s">
        <v>79</v>
      </c>
      <c r="P214" t="s">
        <v>80</v>
      </c>
      <c r="Q214" t="s">
        <v>81</v>
      </c>
      <c r="R214" t="s">
        <v>74</v>
      </c>
      <c r="S214" t="s">
        <v>82</v>
      </c>
      <c r="T214" t="s">
        <v>74</v>
      </c>
      <c r="U214" t="s">
        <v>1821</v>
      </c>
      <c r="V214" t="s">
        <v>74</v>
      </c>
      <c r="W214" t="s">
        <v>1822</v>
      </c>
      <c r="X214" t="s">
        <v>1241</v>
      </c>
      <c r="Y214" t="s">
        <v>74</v>
      </c>
      <c r="Z214" t="s">
        <v>1823</v>
      </c>
      <c r="AA214" t="s">
        <v>1243</v>
      </c>
      <c r="AB214" t="s">
        <v>74</v>
      </c>
      <c r="AC214" t="s">
        <v>74</v>
      </c>
      <c r="AD214" t="s">
        <v>74</v>
      </c>
      <c r="AE214" t="s">
        <v>74</v>
      </c>
      <c r="AF214" t="s">
        <v>74</v>
      </c>
      <c r="AG214">
        <v>9</v>
      </c>
      <c r="AH214">
        <v>0</v>
      </c>
      <c r="AI214">
        <v>0</v>
      </c>
      <c r="AJ214">
        <v>0</v>
      </c>
      <c r="AK214">
        <v>0</v>
      </c>
      <c r="AL214" t="s">
        <v>149</v>
      </c>
      <c r="AM214" t="s">
        <v>150</v>
      </c>
      <c r="AN214" t="s">
        <v>151</v>
      </c>
      <c r="AO214" t="s">
        <v>91</v>
      </c>
      <c r="AP214" t="s">
        <v>74</v>
      </c>
      <c r="AQ214" t="s">
        <v>74</v>
      </c>
      <c r="AR214" t="s">
        <v>93</v>
      </c>
      <c r="AS214" t="s">
        <v>94</v>
      </c>
      <c r="AT214" t="s">
        <v>95</v>
      </c>
      <c r="AU214">
        <v>2008</v>
      </c>
      <c r="AV214">
        <v>43</v>
      </c>
      <c r="AW214">
        <v>7</v>
      </c>
      <c r="AX214" t="s">
        <v>74</v>
      </c>
      <c r="AY214" t="s">
        <v>96</v>
      </c>
      <c r="AZ214" t="s">
        <v>74</v>
      </c>
      <c r="BA214" t="s">
        <v>74</v>
      </c>
      <c r="BB214" t="s">
        <v>1824</v>
      </c>
      <c r="BC214" t="s">
        <v>1824</v>
      </c>
      <c r="BD214" t="s">
        <v>74</v>
      </c>
      <c r="BE214" t="s">
        <v>74</v>
      </c>
      <c r="BF214" t="s">
        <v>74</v>
      </c>
      <c r="BG214" t="s">
        <v>74</v>
      </c>
      <c r="BH214" t="s">
        <v>74</v>
      </c>
      <c r="BI214">
        <v>1</v>
      </c>
      <c r="BJ214" t="s">
        <v>98</v>
      </c>
      <c r="BK214" t="s">
        <v>99</v>
      </c>
      <c r="BL214" t="s">
        <v>98</v>
      </c>
      <c r="BM214" t="s">
        <v>100</v>
      </c>
      <c r="BN214" t="s">
        <v>74</v>
      </c>
      <c r="BO214" t="s">
        <v>74</v>
      </c>
      <c r="BP214" t="s">
        <v>74</v>
      </c>
      <c r="BQ214" t="s">
        <v>74</v>
      </c>
      <c r="BR214" t="s">
        <v>101</v>
      </c>
      <c r="BS214" t="s">
        <v>1825</v>
      </c>
      <c r="BT214" t="str">
        <f>HYPERLINK("https%3A%2F%2Fwww.webofscience.com%2Fwos%2Fwoscc%2Ffull-record%2FWOS:000257683100228","View Full Record in Web of Science")</f>
        <v>View Full Record in Web of Science</v>
      </c>
    </row>
    <row r="215" spans="1:72" x14ac:dyDescent="0.15">
      <c r="A215" t="s">
        <v>72</v>
      </c>
      <c r="B215" t="s">
        <v>1826</v>
      </c>
      <c r="C215" t="s">
        <v>74</v>
      </c>
      <c r="D215" t="s">
        <v>74</v>
      </c>
      <c r="E215" t="s">
        <v>74</v>
      </c>
      <c r="F215" t="s">
        <v>1827</v>
      </c>
      <c r="G215" t="s">
        <v>74</v>
      </c>
      <c r="H215" t="s">
        <v>74</v>
      </c>
      <c r="I215" t="s">
        <v>1828</v>
      </c>
      <c r="J215" t="s">
        <v>77</v>
      </c>
      <c r="K215" t="s">
        <v>74</v>
      </c>
      <c r="L215" t="s">
        <v>74</v>
      </c>
      <c r="M215" t="s">
        <v>78</v>
      </c>
      <c r="N215" t="s">
        <v>52</v>
      </c>
      <c r="O215" t="s">
        <v>79</v>
      </c>
      <c r="P215" t="s">
        <v>80</v>
      </c>
      <c r="Q215" t="s">
        <v>81</v>
      </c>
      <c r="R215" t="s">
        <v>74</v>
      </c>
      <c r="S215" t="s">
        <v>82</v>
      </c>
      <c r="T215" t="s">
        <v>74</v>
      </c>
      <c r="U215" t="s">
        <v>1829</v>
      </c>
      <c r="V215" t="s">
        <v>74</v>
      </c>
      <c r="W215" t="s">
        <v>1830</v>
      </c>
      <c r="X215" t="s">
        <v>1831</v>
      </c>
      <c r="Y215" t="s">
        <v>74</v>
      </c>
      <c r="Z215" t="s">
        <v>1823</v>
      </c>
      <c r="AA215" t="s">
        <v>1243</v>
      </c>
      <c r="AB215" t="s">
        <v>74</v>
      </c>
      <c r="AC215" t="s">
        <v>74</v>
      </c>
      <c r="AD215" t="s">
        <v>74</v>
      </c>
      <c r="AE215" t="s">
        <v>74</v>
      </c>
      <c r="AF215" t="s">
        <v>74</v>
      </c>
      <c r="AG215">
        <v>9</v>
      </c>
      <c r="AH215">
        <v>0</v>
      </c>
      <c r="AI215">
        <v>0</v>
      </c>
      <c r="AJ215">
        <v>0</v>
      </c>
      <c r="AK215">
        <v>1</v>
      </c>
      <c r="AL215" t="s">
        <v>149</v>
      </c>
      <c r="AM215" t="s">
        <v>150</v>
      </c>
      <c r="AN215" t="s">
        <v>151</v>
      </c>
      <c r="AO215" t="s">
        <v>91</v>
      </c>
      <c r="AP215" t="s">
        <v>74</v>
      </c>
      <c r="AQ215" t="s">
        <v>74</v>
      </c>
      <c r="AR215" t="s">
        <v>93</v>
      </c>
      <c r="AS215" t="s">
        <v>94</v>
      </c>
      <c r="AT215" t="s">
        <v>95</v>
      </c>
      <c r="AU215">
        <v>2008</v>
      </c>
      <c r="AV215">
        <v>43</v>
      </c>
      <c r="AW215">
        <v>7</v>
      </c>
      <c r="AX215" t="s">
        <v>74</v>
      </c>
      <c r="AY215" t="s">
        <v>96</v>
      </c>
      <c r="AZ215" t="s">
        <v>74</v>
      </c>
      <c r="BA215" t="s">
        <v>74</v>
      </c>
      <c r="BB215" t="s">
        <v>1824</v>
      </c>
      <c r="BC215" t="s">
        <v>1824</v>
      </c>
      <c r="BD215" t="s">
        <v>74</v>
      </c>
      <c r="BE215" t="s">
        <v>74</v>
      </c>
      <c r="BF215" t="s">
        <v>74</v>
      </c>
      <c r="BG215" t="s">
        <v>74</v>
      </c>
      <c r="BH215" t="s">
        <v>74</v>
      </c>
      <c r="BI215">
        <v>1</v>
      </c>
      <c r="BJ215" t="s">
        <v>98</v>
      </c>
      <c r="BK215" t="s">
        <v>99</v>
      </c>
      <c r="BL215" t="s">
        <v>98</v>
      </c>
      <c r="BM215" t="s">
        <v>100</v>
      </c>
      <c r="BN215" t="s">
        <v>74</v>
      </c>
      <c r="BO215" t="s">
        <v>74</v>
      </c>
      <c r="BP215" t="s">
        <v>74</v>
      </c>
      <c r="BQ215" t="s">
        <v>74</v>
      </c>
      <c r="BR215" t="s">
        <v>101</v>
      </c>
      <c r="BS215" t="s">
        <v>1832</v>
      </c>
      <c r="BT215" t="str">
        <f>HYPERLINK("https%3A%2F%2Fwww.webofscience.com%2Fwos%2Fwoscc%2Ffull-record%2FWOS:000257683100227","View Full Record in Web of Science")</f>
        <v>View Full Record in Web of Science</v>
      </c>
    </row>
    <row r="216" spans="1:72" x14ac:dyDescent="0.15">
      <c r="A216" t="s">
        <v>72</v>
      </c>
      <c r="B216" t="s">
        <v>1833</v>
      </c>
      <c r="C216" t="s">
        <v>74</v>
      </c>
      <c r="D216" t="s">
        <v>74</v>
      </c>
      <c r="E216" t="s">
        <v>74</v>
      </c>
      <c r="F216" t="s">
        <v>1834</v>
      </c>
      <c r="G216" t="s">
        <v>74</v>
      </c>
      <c r="H216" t="s">
        <v>74</v>
      </c>
      <c r="I216" t="s">
        <v>1835</v>
      </c>
      <c r="J216" t="s">
        <v>77</v>
      </c>
      <c r="K216" t="s">
        <v>74</v>
      </c>
      <c r="L216" t="s">
        <v>74</v>
      </c>
      <c r="M216" t="s">
        <v>78</v>
      </c>
      <c r="N216" t="s">
        <v>52</v>
      </c>
      <c r="O216" t="s">
        <v>79</v>
      </c>
      <c r="P216" t="s">
        <v>80</v>
      </c>
      <c r="Q216" t="s">
        <v>81</v>
      </c>
      <c r="R216" t="s">
        <v>74</v>
      </c>
      <c r="S216" t="s">
        <v>82</v>
      </c>
      <c r="T216" t="s">
        <v>74</v>
      </c>
      <c r="U216" t="s">
        <v>1836</v>
      </c>
      <c r="V216" t="s">
        <v>74</v>
      </c>
      <c r="W216" t="s">
        <v>1837</v>
      </c>
      <c r="X216" t="s">
        <v>1838</v>
      </c>
      <c r="Y216" t="s">
        <v>74</v>
      </c>
      <c r="Z216" t="s">
        <v>1839</v>
      </c>
      <c r="AA216" t="s">
        <v>1840</v>
      </c>
      <c r="AB216" t="s">
        <v>1841</v>
      </c>
      <c r="AC216" t="s">
        <v>74</v>
      </c>
      <c r="AD216" t="s">
        <v>74</v>
      </c>
      <c r="AE216" t="s">
        <v>74</v>
      </c>
      <c r="AF216" t="s">
        <v>74</v>
      </c>
      <c r="AG216">
        <v>2</v>
      </c>
      <c r="AH216">
        <v>0</v>
      </c>
      <c r="AI216">
        <v>0</v>
      </c>
      <c r="AJ216">
        <v>0</v>
      </c>
      <c r="AK216">
        <v>1</v>
      </c>
      <c r="AL216" t="s">
        <v>109</v>
      </c>
      <c r="AM216" t="s">
        <v>110</v>
      </c>
      <c r="AN216" t="s">
        <v>111</v>
      </c>
      <c r="AO216" t="s">
        <v>91</v>
      </c>
      <c r="AP216" t="s">
        <v>74</v>
      </c>
      <c r="AQ216" t="s">
        <v>74</v>
      </c>
      <c r="AR216" t="s">
        <v>93</v>
      </c>
      <c r="AS216" t="s">
        <v>94</v>
      </c>
      <c r="AT216" t="s">
        <v>95</v>
      </c>
      <c r="AU216">
        <v>2008</v>
      </c>
      <c r="AV216">
        <v>43</v>
      </c>
      <c r="AW216">
        <v>7</v>
      </c>
      <c r="AX216" t="s">
        <v>74</v>
      </c>
      <c r="AY216" t="s">
        <v>96</v>
      </c>
      <c r="AZ216" t="s">
        <v>74</v>
      </c>
      <c r="BA216" t="s">
        <v>74</v>
      </c>
      <c r="BB216" t="s">
        <v>1842</v>
      </c>
      <c r="BC216" t="s">
        <v>1842</v>
      </c>
      <c r="BD216" t="s">
        <v>74</v>
      </c>
      <c r="BE216" t="s">
        <v>74</v>
      </c>
      <c r="BF216" t="s">
        <v>74</v>
      </c>
      <c r="BG216" t="s">
        <v>74</v>
      </c>
      <c r="BH216" t="s">
        <v>74</v>
      </c>
      <c r="BI216">
        <v>1</v>
      </c>
      <c r="BJ216" t="s">
        <v>98</v>
      </c>
      <c r="BK216" t="s">
        <v>113</v>
      </c>
      <c r="BL216" t="s">
        <v>98</v>
      </c>
      <c r="BM216" t="s">
        <v>100</v>
      </c>
      <c r="BN216" t="s">
        <v>74</v>
      </c>
      <c r="BO216" t="s">
        <v>74</v>
      </c>
      <c r="BP216" t="s">
        <v>74</v>
      </c>
      <c r="BQ216" t="s">
        <v>74</v>
      </c>
      <c r="BR216" t="s">
        <v>101</v>
      </c>
      <c r="BS216" t="s">
        <v>1843</v>
      </c>
      <c r="BT216" t="str">
        <f>HYPERLINK("https%3A%2F%2Fwww.webofscience.com%2Fwos%2Fwoscc%2Ffull-record%2FWOS:000257683100229","View Full Record in Web of Science")</f>
        <v>View Full Record in Web of Science</v>
      </c>
    </row>
    <row r="217" spans="1:72" x14ac:dyDescent="0.15">
      <c r="A217" t="s">
        <v>72</v>
      </c>
      <c r="B217" t="s">
        <v>1844</v>
      </c>
      <c r="C217" t="s">
        <v>74</v>
      </c>
      <c r="D217" t="s">
        <v>74</v>
      </c>
      <c r="E217" t="s">
        <v>74</v>
      </c>
      <c r="F217" t="s">
        <v>1845</v>
      </c>
      <c r="G217" t="s">
        <v>74</v>
      </c>
      <c r="H217" t="s">
        <v>74</v>
      </c>
      <c r="I217" t="s">
        <v>1846</v>
      </c>
      <c r="J217" t="s">
        <v>77</v>
      </c>
      <c r="K217" t="s">
        <v>74</v>
      </c>
      <c r="L217" t="s">
        <v>74</v>
      </c>
      <c r="M217" t="s">
        <v>78</v>
      </c>
      <c r="N217" t="s">
        <v>52</v>
      </c>
      <c r="O217" t="s">
        <v>79</v>
      </c>
      <c r="P217" t="s">
        <v>80</v>
      </c>
      <c r="Q217" t="s">
        <v>81</v>
      </c>
      <c r="R217" t="s">
        <v>74</v>
      </c>
      <c r="S217" t="s">
        <v>82</v>
      </c>
      <c r="T217" t="s">
        <v>74</v>
      </c>
      <c r="U217" t="s">
        <v>1847</v>
      </c>
      <c r="V217" t="s">
        <v>74</v>
      </c>
      <c r="W217" t="s">
        <v>1848</v>
      </c>
      <c r="X217" t="s">
        <v>1849</v>
      </c>
      <c r="Y217" t="s">
        <v>74</v>
      </c>
      <c r="Z217" t="s">
        <v>1850</v>
      </c>
      <c r="AA217" t="s">
        <v>1851</v>
      </c>
      <c r="AB217" t="s">
        <v>1852</v>
      </c>
      <c r="AC217" t="s">
        <v>74</v>
      </c>
      <c r="AD217" t="s">
        <v>74</v>
      </c>
      <c r="AE217" t="s">
        <v>74</v>
      </c>
      <c r="AF217" t="s">
        <v>74</v>
      </c>
      <c r="AG217">
        <v>9</v>
      </c>
      <c r="AH217">
        <v>1</v>
      </c>
      <c r="AI217">
        <v>1</v>
      </c>
      <c r="AJ217">
        <v>0</v>
      </c>
      <c r="AK217">
        <v>1</v>
      </c>
      <c r="AL217" t="s">
        <v>149</v>
      </c>
      <c r="AM217" t="s">
        <v>150</v>
      </c>
      <c r="AN217" t="s">
        <v>151</v>
      </c>
      <c r="AO217" t="s">
        <v>91</v>
      </c>
      <c r="AP217" t="s">
        <v>74</v>
      </c>
      <c r="AQ217" t="s">
        <v>74</v>
      </c>
      <c r="AR217" t="s">
        <v>93</v>
      </c>
      <c r="AS217" t="s">
        <v>94</v>
      </c>
      <c r="AT217" t="s">
        <v>95</v>
      </c>
      <c r="AU217">
        <v>2008</v>
      </c>
      <c r="AV217">
        <v>43</v>
      </c>
      <c r="AW217">
        <v>7</v>
      </c>
      <c r="AX217" t="s">
        <v>74</v>
      </c>
      <c r="AY217" t="s">
        <v>96</v>
      </c>
      <c r="AZ217" t="s">
        <v>74</v>
      </c>
      <c r="BA217" t="s">
        <v>74</v>
      </c>
      <c r="BB217" t="s">
        <v>1842</v>
      </c>
      <c r="BC217" t="s">
        <v>1842</v>
      </c>
      <c r="BD217" t="s">
        <v>74</v>
      </c>
      <c r="BE217" t="s">
        <v>74</v>
      </c>
      <c r="BF217" t="s">
        <v>74</v>
      </c>
      <c r="BG217" t="s">
        <v>74</v>
      </c>
      <c r="BH217" t="s">
        <v>74</v>
      </c>
      <c r="BI217">
        <v>1</v>
      </c>
      <c r="BJ217" t="s">
        <v>98</v>
      </c>
      <c r="BK217" t="s">
        <v>99</v>
      </c>
      <c r="BL217" t="s">
        <v>98</v>
      </c>
      <c r="BM217" t="s">
        <v>100</v>
      </c>
      <c r="BN217" t="s">
        <v>74</v>
      </c>
      <c r="BO217" t="s">
        <v>74</v>
      </c>
      <c r="BP217" t="s">
        <v>74</v>
      </c>
      <c r="BQ217" t="s">
        <v>74</v>
      </c>
      <c r="BR217" t="s">
        <v>101</v>
      </c>
      <c r="BS217" t="s">
        <v>1853</v>
      </c>
      <c r="BT217" t="str">
        <f>HYPERLINK("https%3A%2F%2Fwww.webofscience.com%2Fwos%2Fwoscc%2Ffull-record%2FWOS:000257683100230","View Full Record in Web of Science")</f>
        <v>View Full Record in Web of Science</v>
      </c>
    </row>
    <row r="218" spans="1:72" x14ac:dyDescent="0.15">
      <c r="A218" t="s">
        <v>72</v>
      </c>
      <c r="B218" t="s">
        <v>1854</v>
      </c>
      <c r="C218" t="s">
        <v>74</v>
      </c>
      <c r="D218" t="s">
        <v>74</v>
      </c>
      <c r="E218" t="s">
        <v>74</v>
      </c>
      <c r="F218" t="s">
        <v>1855</v>
      </c>
      <c r="G218" t="s">
        <v>74</v>
      </c>
      <c r="H218" t="s">
        <v>74</v>
      </c>
      <c r="I218" t="s">
        <v>1856</v>
      </c>
      <c r="J218" t="s">
        <v>77</v>
      </c>
      <c r="K218" t="s">
        <v>74</v>
      </c>
      <c r="L218" t="s">
        <v>74</v>
      </c>
      <c r="M218" t="s">
        <v>78</v>
      </c>
      <c r="N218" t="s">
        <v>52</v>
      </c>
      <c r="O218" t="s">
        <v>79</v>
      </c>
      <c r="P218" t="s">
        <v>80</v>
      </c>
      <c r="Q218" t="s">
        <v>81</v>
      </c>
      <c r="R218" t="s">
        <v>74</v>
      </c>
      <c r="S218" t="s">
        <v>82</v>
      </c>
      <c r="T218" t="s">
        <v>74</v>
      </c>
      <c r="U218" t="s">
        <v>1857</v>
      </c>
      <c r="V218" t="s">
        <v>74</v>
      </c>
      <c r="W218" t="s">
        <v>1858</v>
      </c>
      <c r="X218" t="s">
        <v>1859</v>
      </c>
      <c r="Y218" t="s">
        <v>74</v>
      </c>
      <c r="Z218" t="s">
        <v>1860</v>
      </c>
      <c r="AA218" t="s">
        <v>74</v>
      </c>
      <c r="AB218" t="s">
        <v>74</v>
      </c>
      <c r="AC218" t="s">
        <v>74</v>
      </c>
      <c r="AD218" t="s">
        <v>74</v>
      </c>
      <c r="AE218" t="s">
        <v>74</v>
      </c>
      <c r="AF218" t="s">
        <v>74</v>
      </c>
      <c r="AG218">
        <v>5</v>
      </c>
      <c r="AH218">
        <v>0</v>
      </c>
      <c r="AI218">
        <v>0</v>
      </c>
      <c r="AJ218">
        <v>0</v>
      </c>
      <c r="AK218">
        <v>0</v>
      </c>
      <c r="AL218" t="s">
        <v>109</v>
      </c>
      <c r="AM218" t="s">
        <v>110</v>
      </c>
      <c r="AN218" t="s">
        <v>111</v>
      </c>
      <c r="AO218" t="s">
        <v>91</v>
      </c>
      <c r="AP218" t="s">
        <v>74</v>
      </c>
      <c r="AQ218" t="s">
        <v>74</v>
      </c>
      <c r="AR218" t="s">
        <v>93</v>
      </c>
      <c r="AS218" t="s">
        <v>94</v>
      </c>
      <c r="AT218" t="s">
        <v>95</v>
      </c>
      <c r="AU218">
        <v>2008</v>
      </c>
      <c r="AV218">
        <v>43</v>
      </c>
      <c r="AW218">
        <v>7</v>
      </c>
      <c r="AX218" t="s">
        <v>74</v>
      </c>
      <c r="AY218" t="s">
        <v>96</v>
      </c>
      <c r="AZ218" t="s">
        <v>74</v>
      </c>
      <c r="BA218" t="s">
        <v>74</v>
      </c>
      <c r="BB218" t="s">
        <v>1649</v>
      </c>
      <c r="BC218" t="s">
        <v>1649</v>
      </c>
      <c r="BD218" t="s">
        <v>74</v>
      </c>
      <c r="BE218" t="s">
        <v>74</v>
      </c>
      <c r="BF218" t="s">
        <v>74</v>
      </c>
      <c r="BG218" t="s">
        <v>74</v>
      </c>
      <c r="BH218" t="s">
        <v>74</v>
      </c>
      <c r="BI218">
        <v>1</v>
      </c>
      <c r="BJ218" t="s">
        <v>98</v>
      </c>
      <c r="BK218" t="s">
        <v>113</v>
      </c>
      <c r="BL218" t="s">
        <v>98</v>
      </c>
      <c r="BM218" t="s">
        <v>100</v>
      </c>
      <c r="BN218" t="s">
        <v>74</v>
      </c>
      <c r="BO218" t="s">
        <v>74</v>
      </c>
      <c r="BP218" t="s">
        <v>74</v>
      </c>
      <c r="BQ218" t="s">
        <v>74</v>
      </c>
      <c r="BR218" t="s">
        <v>101</v>
      </c>
      <c r="BS218" t="s">
        <v>1861</v>
      </c>
      <c r="BT218" t="str">
        <f>HYPERLINK("https%3A%2F%2Fwww.webofscience.com%2Fwos%2Fwoscc%2Ffull-record%2FWOS:000257683100353","View Full Record in Web of Science")</f>
        <v>View Full Record in Web of Science</v>
      </c>
    </row>
    <row r="219" spans="1:72" x14ac:dyDescent="0.15">
      <c r="A219" t="s">
        <v>72</v>
      </c>
      <c r="B219" t="s">
        <v>1862</v>
      </c>
      <c r="C219" t="s">
        <v>74</v>
      </c>
      <c r="D219" t="s">
        <v>74</v>
      </c>
      <c r="E219" t="s">
        <v>74</v>
      </c>
      <c r="F219" t="s">
        <v>1863</v>
      </c>
      <c r="G219" t="s">
        <v>74</v>
      </c>
      <c r="H219" t="s">
        <v>74</v>
      </c>
      <c r="I219" t="s">
        <v>1864</v>
      </c>
      <c r="J219" t="s">
        <v>77</v>
      </c>
      <c r="K219" t="s">
        <v>74</v>
      </c>
      <c r="L219" t="s">
        <v>74</v>
      </c>
      <c r="M219" t="s">
        <v>78</v>
      </c>
      <c r="N219" t="s">
        <v>52</v>
      </c>
      <c r="O219" t="s">
        <v>79</v>
      </c>
      <c r="P219" t="s">
        <v>80</v>
      </c>
      <c r="Q219" t="s">
        <v>81</v>
      </c>
      <c r="R219" t="s">
        <v>74</v>
      </c>
      <c r="S219" t="s">
        <v>82</v>
      </c>
      <c r="T219" t="s">
        <v>74</v>
      </c>
      <c r="U219" t="s">
        <v>1865</v>
      </c>
      <c r="V219" t="s">
        <v>74</v>
      </c>
      <c r="W219" t="s">
        <v>1866</v>
      </c>
      <c r="X219" t="s">
        <v>1867</v>
      </c>
      <c r="Y219" t="s">
        <v>74</v>
      </c>
      <c r="Z219" t="s">
        <v>74</v>
      </c>
      <c r="AA219" t="s">
        <v>74</v>
      </c>
      <c r="AB219" t="s">
        <v>74</v>
      </c>
      <c r="AC219" t="s">
        <v>74</v>
      </c>
      <c r="AD219" t="s">
        <v>74</v>
      </c>
      <c r="AE219" t="s">
        <v>74</v>
      </c>
      <c r="AF219" t="s">
        <v>74</v>
      </c>
      <c r="AG219">
        <v>13</v>
      </c>
      <c r="AH219">
        <v>2</v>
      </c>
      <c r="AI219">
        <v>2</v>
      </c>
      <c r="AJ219">
        <v>0</v>
      </c>
      <c r="AK219">
        <v>1</v>
      </c>
      <c r="AL219" t="s">
        <v>88</v>
      </c>
      <c r="AM219" t="s">
        <v>89</v>
      </c>
      <c r="AN219" t="s">
        <v>90</v>
      </c>
      <c r="AO219" t="s">
        <v>91</v>
      </c>
      <c r="AP219" t="s">
        <v>92</v>
      </c>
      <c r="AQ219" t="s">
        <v>74</v>
      </c>
      <c r="AR219" t="s">
        <v>93</v>
      </c>
      <c r="AS219" t="s">
        <v>94</v>
      </c>
      <c r="AT219" t="s">
        <v>95</v>
      </c>
      <c r="AU219">
        <v>2008</v>
      </c>
      <c r="AV219">
        <v>43</v>
      </c>
      <c r="AW219">
        <v>7</v>
      </c>
      <c r="AX219" t="s">
        <v>74</v>
      </c>
      <c r="AY219" t="s">
        <v>96</v>
      </c>
      <c r="AZ219" t="s">
        <v>74</v>
      </c>
      <c r="BA219" t="s">
        <v>74</v>
      </c>
      <c r="BB219" t="s">
        <v>1868</v>
      </c>
      <c r="BC219" t="s">
        <v>1868</v>
      </c>
      <c r="BD219" t="s">
        <v>74</v>
      </c>
      <c r="BE219" t="s">
        <v>74</v>
      </c>
      <c r="BF219" t="s">
        <v>74</v>
      </c>
      <c r="BG219" t="s">
        <v>74</v>
      </c>
      <c r="BH219" t="s">
        <v>74</v>
      </c>
      <c r="BI219">
        <v>1</v>
      </c>
      <c r="BJ219" t="s">
        <v>98</v>
      </c>
      <c r="BK219" t="s">
        <v>99</v>
      </c>
      <c r="BL219" t="s">
        <v>98</v>
      </c>
      <c r="BM219" t="s">
        <v>100</v>
      </c>
      <c r="BN219" t="s">
        <v>74</v>
      </c>
      <c r="BO219" t="s">
        <v>74</v>
      </c>
      <c r="BP219" t="s">
        <v>74</v>
      </c>
      <c r="BQ219" t="s">
        <v>74</v>
      </c>
      <c r="BR219" t="s">
        <v>101</v>
      </c>
      <c r="BS219" t="s">
        <v>1869</v>
      </c>
      <c r="BT219" t="str">
        <f>HYPERLINK("https%3A%2F%2Fwww.webofscience.com%2Fwos%2Fwoscc%2Ffull-record%2FWOS:000257683100231","View Full Record in Web of Science")</f>
        <v>View Full Record in Web of Science</v>
      </c>
    </row>
    <row r="220" spans="1:72" x14ac:dyDescent="0.15">
      <c r="A220" t="s">
        <v>72</v>
      </c>
      <c r="B220" t="s">
        <v>1870</v>
      </c>
      <c r="C220" t="s">
        <v>74</v>
      </c>
      <c r="D220" t="s">
        <v>74</v>
      </c>
      <c r="E220" t="s">
        <v>74</v>
      </c>
      <c r="F220" t="s">
        <v>1871</v>
      </c>
      <c r="G220" t="s">
        <v>74</v>
      </c>
      <c r="H220" t="s">
        <v>74</v>
      </c>
      <c r="I220" t="s">
        <v>1872</v>
      </c>
      <c r="J220" t="s">
        <v>77</v>
      </c>
      <c r="K220" t="s">
        <v>74</v>
      </c>
      <c r="L220" t="s">
        <v>74</v>
      </c>
      <c r="M220" t="s">
        <v>78</v>
      </c>
      <c r="N220" t="s">
        <v>52</v>
      </c>
      <c r="O220" t="s">
        <v>79</v>
      </c>
      <c r="P220" t="s">
        <v>80</v>
      </c>
      <c r="Q220" t="s">
        <v>81</v>
      </c>
      <c r="R220" t="s">
        <v>74</v>
      </c>
      <c r="S220" t="s">
        <v>82</v>
      </c>
      <c r="T220" t="s">
        <v>74</v>
      </c>
      <c r="U220" t="s">
        <v>1873</v>
      </c>
      <c r="V220" t="s">
        <v>74</v>
      </c>
      <c r="W220" t="s">
        <v>1874</v>
      </c>
      <c r="X220" t="s">
        <v>510</v>
      </c>
      <c r="Y220" t="s">
        <v>74</v>
      </c>
      <c r="Z220" t="s">
        <v>1875</v>
      </c>
      <c r="AA220" t="s">
        <v>74</v>
      </c>
      <c r="AB220" t="s">
        <v>74</v>
      </c>
      <c r="AC220" t="s">
        <v>521</v>
      </c>
      <c r="AD220" t="s">
        <v>522</v>
      </c>
      <c r="AE220" t="s">
        <v>74</v>
      </c>
      <c r="AF220" t="s">
        <v>74</v>
      </c>
      <c r="AG220">
        <v>13</v>
      </c>
      <c r="AH220">
        <v>0</v>
      </c>
      <c r="AI220">
        <v>0</v>
      </c>
      <c r="AJ220">
        <v>0</v>
      </c>
      <c r="AK220">
        <v>0</v>
      </c>
      <c r="AL220" t="s">
        <v>109</v>
      </c>
      <c r="AM220" t="s">
        <v>110</v>
      </c>
      <c r="AN220" t="s">
        <v>111</v>
      </c>
      <c r="AO220" t="s">
        <v>91</v>
      </c>
      <c r="AP220" t="s">
        <v>74</v>
      </c>
      <c r="AQ220" t="s">
        <v>74</v>
      </c>
      <c r="AR220" t="s">
        <v>93</v>
      </c>
      <c r="AS220" t="s">
        <v>94</v>
      </c>
      <c r="AT220" t="s">
        <v>95</v>
      </c>
      <c r="AU220">
        <v>2008</v>
      </c>
      <c r="AV220">
        <v>43</v>
      </c>
      <c r="AW220">
        <v>7</v>
      </c>
      <c r="AX220" t="s">
        <v>74</v>
      </c>
      <c r="AY220" t="s">
        <v>96</v>
      </c>
      <c r="AZ220" t="s">
        <v>74</v>
      </c>
      <c r="BA220" t="s">
        <v>74</v>
      </c>
      <c r="BB220" t="s">
        <v>1868</v>
      </c>
      <c r="BC220" t="s">
        <v>1868</v>
      </c>
      <c r="BD220" t="s">
        <v>74</v>
      </c>
      <c r="BE220" t="s">
        <v>74</v>
      </c>
      <c r="BF220" t="s">
        <v>74</v>
      </c>
      <c r="BG220" t="s">
        <v>74</v>
      </c>
      <c r="BH220" t="s">
        <v>74</v>
      </c>
      <c r="BI220">
        <v>1</v>
      </c>
      <c r="BJ220" t="s">
        <v>98</v>
      </c>
      <c r="BK220" t="s">
        <v>113</v>
      </c>
      <c r="BL220" t="s">
        <v>98</v>
      </c>
      <c r="BM220" t="s">
        <v>100</v>
      </c>
      <c r="BN220" t="s">
        <v>74</v>
      </c>
      <c r="BO220" t="s">
        <v>74</v>
      </c>
      <c r="BP220" t="s">
        <v>74</v>
      </c>
      <c r="BQ220" t="s">
        <v>74</v>
      </c>
      <c r="BR220" t="s">
        <v>101</v>
      </c>
      <c r="BS220" t="s">
        <v>1876</v>
      </c>
      <c r="BT220" t="str">
        <f>HYPERLINK("https%3A%2F%2Fwww.webofscience.com%2Fwos%2Fwoscc%2Ffull-record%2FWOS:000257683100232","View Full Record in Web of Science")</f>
        <v>View Full Record in Web of Science</v>
      </c>
    </row>
    <row r="221" spans="1:72" x14ac:dyDescent="0.15">
      <c r="A221" t="s">
        <v>72</v>
      </c>
      <c r="B221" t="s">
        <v>1877</v>
      </c>
      <c r="C221" t="s">
        <v>74</v>
      </c>
      <c r="D221" t="s">
        <v>74</v>
      </c>
      <c r="E221" t="s">
        <v>74</v>
      </c>
      <c r="F221" t="s">
        <v>1878</v>
      </c>
      <c r="G221" t="s">
        <v>74</v>
      </c>
      <c r="H221" t="s">
        <v>74</v>
      </c>
      <c r="I221" t="s">
        <v>1879</v>
      </c>
      <c r="J221" t="s">
        <v>77</v>
      </c>
      <c r="K221" t="s">
        <v>74</v>
      </c>
      <c r="L221" t="s">
        <v>74</v>
      </c>
      <c r="M221" t="s">
        <v>78</v>
      </c>
      <c r="N221" t="s">
        <v>52</v>
      </c>
      <c r="O221" t="s">
        <v>79</v>
      </c>
      <c r="P221" t="s">
        <v>80</v>
      </c>
      <c r="Q221" t="s">
        <v>81</v>
      </c>
      <c r="R221" t="s">
        <v>74</v>
      </c>
      <c r="S221" t="s">
        <v>82</v>
      </c>
      <c r="T221" t="s">
        <v>74</v>
      </c>
      <c r="U221" t="s">
        <v>1880</v>
      </c>
      <c r="V221" t="s">
        <v>74</v>
      </c>
      <c r="W221" t="s">
        <v>1881</v>
      </c>
      <c r="X221" t="s">
        <v>1882</v>
      </c>
      <c r="Y221" t="s">
        <v>74</v>
      </c>
      <c r="Z221" t="s">
        <v>1883</v>
      </c>
      <c r="AA221" t="s">
        <v>74</v>
      </c>
      <c r="AB221" t="s">
        <v>74</v>
      </c>
      <c r="AC221" t="s">
        <v>74</v>
      </c>
      <c r="AD221" t="s">
        <v>74</v>
      </c>
      <c r="AE221" t="s">
        <v>74</v>
      </c>
      <c r="AF221" t="s">
        <v>74</v>
      </c>
      <c r="AG221">
        <v>5</v>
      </c>
      <c r="AH221">
        <v>0</v>
      </c>
      <c r="AI221">
        <v>0</v>
      </c>
      <c r="AJ221">
        <v>0</v>
      </c>
      <c r="AK221">
        <v>1</v>
      </c>
      <c r="AL221" t="s">
        <v>109</v>
      </c>
      <c r="AM221" t="s">
        <v>110</v>
      </c>
      <c r="AN221" t="s">
        <v>111</v>
      </c>
      <c r="AO221" t="s">
        <v>91</v>
      </c>
      <c r="AP221" t="s">
        <v>74</v>
      </c>
      <c r="AQ221" t="s">
        <v>74</v>
      </c>
      <c r="AR221" t="s">
        <v>93</v>
      </c>
      <c r="AS221" t="s">
        <v>94</v>
      </c>
      <c r="AT221" t="s">
        <v>95</v>
      </c>
      <c r="AU221">
        <v>2008</v>
      </c>
      <c r="AV221">
        <v>43</v>
      </c>
      <c r="AW221">
        <v>7</v>
      </c>
      <c r="AX221" t="s">
        <v>74</v>
      </c>
      <c r="AY221" t="s">
        <v>96</v>
      </c>
      <c r="AZ221" t="s">
        <v>74</v>
      </c>
      <c r="BA221" t="s">
        <v>74</v>
      </c>
      <c r="BB221" t="s">
        <v>1884</v>
      </c>
      <c r="BC221" t="s">
        <v>1884</v>
      </c>
      <c r="BD221" t="s">
        <v>74</v>
      </c>
      <c r="BE221" t="s">
        <v>74</v>
      </c>
      <c r="BF221" t="s">
        <v>74</v>
      </c>
      <c r="BG221" t="s">
        <v>74</v>
      </c>
      <c r="BH221" t="s">
        <v>74</v>
      </c>
      <c r="BI221">
        <v>1</v>
      </c>
      <c r="BJ221" t="s">
        <v>98</v>
      </c>
      <c r="BK221" t="s">
        <v>113</v>
      </c>
      <c r="BL221" t="s">
        <v>98</v>
      </c>
      <c r="BM221" t="s">
        <v>100</v>
      </c>
      <c r="BN221" t="s">
        <v>74</v>
      </c>
      <c r="BO221" t="s">
        <v>74</v>
      </c>
      <c r="BP221" t="s">
        <v>74</v>
      </c>
      <c r="BQ221" t="s">
        <v>74</v>
      </c>
      <c r="BR221" t="s">
        <v>101</v>
      </c>
      <c r="BS221" t="s">
        <v>1885</v>
      </c>
      <c r="BT221" t="str">
        <f>HYPERLINK("https%3A%2F%2Fwww.webofscience.com%2Fwos%2Fwoscc%2Ffull-record%2FWOS:000257683100233","View Full Record in Web of Science")</f>
        <v>View Full Record in Web of Science</v>
      </c>
    </row>
    <row r="222" spans="1:72" x14ac:dyDescent="0.15">
      <c r="A222" t="s">
        <v>72</v>
      </c>
      <c r="B222" t="s">
        <v>1886</v>
      </c>
      <c r="C222" t="s">
        <v>74</v>
      </c>
      <c r="D222" t="s">
        <v>74</v>
      </c>
      <c r="E222" t="s">
        <v>74</v>
      </c>
      <c r="F222" t="s">
        <v>1887</v>
      </c>
      <c r="G222" t="s">
        <v>74</v>
      </c>
      <c r="H222" t="s">
        <v>74</v>
      </c>
      <c r="I222" t="s">
        <v>1888</v>
      </c>
      <c r="J222" t="s">
        <v>77</v>
      </c>
      <c r="K222" t="s">
        <v>74</v>
      </c>
      <c r="L222" t="s">
        <v>74</v>
      </c>
      <c r="M222" t="s">
        <v>78</v>
      </c>
      <c r="N222" t="s">
        <v>52</v>
      </c>
      <c r="O222" t="s">
        <v>79</v>
      </c>
      <c r="P222" t="s">
        <v>80</v>
      </c>
      <c r="Q222" t="s">
        <v>81</v>
      </c>
      <c r="R222" t="s">
        <v>74</v>
      </c>
      <c r="S222" t="s">
        <v>82</v>
      </c>
      <c r="T222" t="s">
        <v>74</v>
      </c>
      <c r="U222" t="s">
        <v>74</v>
      </c>
      <c r="V222" t="s">
        <v>74</v>
      </c>
      <c r="W222" t="s">
        <v>1889</v>
      </c>
      <c r="X222" t="s">
        <v>1890</v>
      </c>
      <c r="Y222" t="s">
        <v>74</v>
      </c>
      <c r="Z222" t="s">
        <v>1891</v>
      </c>
      <c r="AA222" t="s">
        <v>1892</v>
      </c>
      <c r="AB222" t="s">
        <v>1893</v>
      </c>
      <c r="AC222" t="s">
        <v>74</v>
      </c>
      <c r="AD222" t="s">
        <v>74</v>
      </c>
      <c r="AE222" t="s">
        <v>74</v>
      </c>
      <c r="AF222" t="s">
        <v>74</v>
      </c>
      <c r="AG222">
        <v>4</v>
      </c>
      <c r="AH222">
        <v>0</v>
      </c>
      <c r="AI222">
        <v>0</v>
      </c>
      <c r="AJ222">
        <v>0</v>
      </c>
      <c r="AK222">
        <v>2</v>
      </c>
      <c r="AL222" t="s">
        <v>149</v>
      </c>
      <c r="AM222" t="s">
        <v>89</v>
      </c>
      <c r="AN222" t="s">
        <v>90</v>
      </c>
      <c r="AO222" t="s">
        <v>91</v>
      </c>
      <c r="AP222" t="s">
        <v>92</v>
      </c>
      <c r="AQ222" t="s">
        <v>74</v>
      </c>
      <c r="AR222" t="s">
        <v>93</v>
      </c>
      <c r="AS222" t="s">
        <v>94</v>
      </c>
      <c r="AT222" t="s">
        <v>95</v>
      </c>
      <c r="AU222">
        <v>2008</v>
      </c>
      <c r="AV222">
        <v>43</v>
      </c>
      <c r="AW222">
        <v>7</v>
      </c>
      <c r="AX222" t="s">
        <v>74</v>
      </c>
      <c r="AY222" t="s">
        <v>96</v>
      </c>
      <c r="AZ222" t="s">
        <v>74</v>
      </c>
      <c r="BA222" t="s">
        <v>74</v>
      </c>
      <c r="BB222" t="s">
        <v>1884</v>
      </c>
      <c r="BC222" t="s">
        <v>1884</v>
      </c>
      <c r="BD222" t="s">
        <v>74</v>
      </c>
      <c r="BE222" t="s">
        <v>74</v>
      </c>
      <c r="BF222" t="s">
        <v>74</v>
      </c>
      <c r="BG222" t="s">
        <v>74</v>
      </c>
      <c r="BH222" t="s">
        <v>74</v>
      </c>
      <c r="BI222">
        <v>1</v>
      </c>
      <c r="BJ222" t="s">
        <v>98</v>
      </c>
      <c r="BK222" t="s">
        <v>99</v>
      </c>
      <c r="BL222" t="s">
        <v>98</v>
      </c>
      <c r="BM222" t="s">
        <v>100</v>
      </c>
      <c r="BN222" t="s">
        <v>74</v>
      </c>
      <c r="BO222" t="s">
        <v>74</v>
      </c>
      <c r="BP222" t="s">
        <v>74</v>
      </c>
      <c r="BQ222" t="s">
        <v>74</v>
      </c>
      <c r="BR222" t="s">
        <v>101</v>
      </c>
      <c r="BS222" t="s">
        <v>1894</v>
      </c>
      <c r="BT222" t="str">
        <f>HYPERLINK("https%3A%2F%2Fwww.webofscience.com%2Fwos%2Fwoscc%2Ffull-record%2FWOS:000257683100234","View Full Record in Web of Science")</f>
        <v>View Full Record in Web of Science</v>
      </c>
    </row>
    <row r="223" spans="1:72" x14ac:dyDescent="0.15">
      <c r="A223" t="s">
        <v>72</v>
      </c>
      <c r="B223" t="s">
        <v>1895</v>
      </c>
      <c r="C223" t="s">
        <v>74</v>
      </c>
      <c r="D223" t="s">
        <v>74</v>
      </c>
      <c r="E223" t="s">
        <v>74</v>
      </c>
      <c r="F223" t="s">
        <v>1896</v>
      </c>
      <c r="G223" t="s">
        <v>74</v>
      </c>
      <c r="H223" t="s">
        <v>74</v>
      </c>
      <c r="I223" t="s">
        <v>1897</v>
      </c>
      <c r="J223" t="s">
        <v>77</v>
      </c>
      <c r="K223" t="s">
        <v>74</v>
      </c>
      <c r="L223" t="s">
        <v>74</v>
      </c>
      <c r="M223" t="s">
        <v>78</v>
      </c>
      <c r="N223" t="s">
        <v>52</v>
      </c>
      <c r="O223" t="s">
        <v>79</v>
      </c>
      <c r="P223" t="s">
        <v>80</v>
      </c>
      <c r="Q223" t="s">
        <v>81</v>
      </c>
      <c r="R223" t="s">
        <v>74</v>
      </c>
      <c r="S223" t="s">
        <v>82</v>
      </c>
      <c r="T223" t="s">
        <v>74</v>
      </c>
      <c r="U223" t="s">
        <v>74</v>
      </c>
      <c r="V223" t="s">
        <v>74</v>
      </c>
      <c r="W223" t="s">
        <v>74</v>
      </c>
      <c r="X223" t="s">
        <v>74</v>
      </c>
      <c r="Y223" t="s">
        <v>74</v>
      </c>
      <c r="Z223" t="s">
        <v>74</v>
      </c>
      <c r="AA223" t="s">
        <v>74</v>
      </c>
      <c r="AB223" t="s">
        <v>74</v>
      </c>
      <c r="AC223" t="s">
        <v>74</v>
      </c>
      <c r="AD223" t="s">
        <v>74</v>
      </c>
      <c r="AE223" t="s">
        <v>74</v>
      </c>
      <c r="AF223" t="s">
        <v>74</v>
      </c>
      <c r="AG223">
        <v>0</v>
      </c>
      <c r="AH223">
        <v>0</v>
      </c>
      <c r="AI223">
        <v>0</v>
      </c>
      <c r="AJ223">
        <v>0</v>
      </c>
      <c r="AK223">
        <v>1</v>
      </c>
      <c r="AL223" t="s">
        <v>109</v>
      </c>
      <c r="AM223" t="s">
        <v>110</v>
      </c>
      <c r="AN223" t="s">
        <v>111</v>
      </c>
      <c r="AO223" t="s">
        <v>91</v>
      </c>
      <c r="AP223" t="s">
        <v>74</v>
      </c>
      <c r="AQ223" t="s">
        <v>74</v>
      </c>
      <c r="AR223" t="s">
        <v>93</v>
      </c>
      <c r="AS223" t="s">
        <v>94</v>
      </c>
      <c r="AT223" t="s">
        <v>95</v>
      </c>
      <c r="AU223">
        <v>2008</v>
      </c>
      <c r="AV223">
        <v>43</v>
      </c>
      <c r="AW223">
        <v>7</v>
      </c>
      <c r="AX223" t="s">
        <v>74</v>
      </c>
      <c r="AY223" t="s">
        <v>96</v>
      </c>
      <c r="AZ223" t="s">
        <v>74</v>
      </c>
      <c r="BA223" t="s">
        <v>74</v>
      </c>
      <c r="BB223" t="s">
        <v>1898</v>
      </c>
      <c r="BC223" t="s">
        <v>1898</v>
      </c>
      <c r="BD223" t="s">
        <v>74</v>
      </c>
      <c r="BE223" t="s">
        <v>74</v>
      </c>
      <c r="BF223" t="s">
        <v>74</v>
      </c>
      <c r="BG223" t="s">
        <v>74</v>
      </c>
      <c r="BH223" t="s">
        <v>74</v>
      </c>
      <c r="BI223">
        <v>1</v>
      </c>
      <c r="BJ223" t="s">
        <v>98</v>
      </c>
      <c r="BK223" t="s">
        <v>113</v>
      </c>
      <c r="BL223" t="s">
        <v>98</v>
      </c>
      <c r="BM223" t="s">
        <v>100</v>
      </c>
      <c r="BN223" t="s">
        <v>74</v>
      </c>
      <c r="BO223" t="s">
        <v>74</v>
      </c>
      <c r="BP223" t="s">
        <v>74</v>
      </c>
      <c r="BQ223" t="s">
        <v>74</v>
      </c>
      <c r="BR223" t="s">
        <v>101</v>
      </c>
      <c r="BS223" t="s">
        <v>1899</v>
      </c>
      <c r="BT223" t="str">
        <f>HYPERLINK("https%3A%2F%2Fwww.webofscience.com%2Fwos%2Fwoscc%2Ffull-record%2FWOS:000257683100235","View Full Record in Web of Science")</f>
        <v>View Full Record in Web of Science</v>
      </c>
    </row>
    <row r="224" spans="1:72" x14ac:dyDescent="0.15">
      <c r="A224" t="s">
        <v>72</v>
      </c>
      <c r="B224" t="s">
        <v>1900</v>
      </c>
      <c r="C224" t="s">
        <v>74</v>
      </c>
      <c r="D224" t="s">
        <v>74</v>
      </c>
      <c r="E224" t="s">
        <v>74</v>
      </c>
      <c r="F224" t="s">
        <v>1901</v>
      </c>
      <c r="G224" t="s">
        <v>74</v>
      </c>
      <c r="H224" t="s">
        <v>74</v>
      </c>
      <c r="I224" t="s">
        <v>1902</v>
      </c>
      <c r="J224" t="s">
        <v>77</v>
      </c>
      <c r="K224" t="s">
        <v>74</v>
      </c>
      <c r="L224" t="s">
        <v>74</v>
      </c>
      <c r="M224" t="s">
        <v>78</v>
      </c>
      <c r="N224" t="s">
        <v>52</v>
      </c>
      <c r="O224" t="s">
        <v>79</v>
      </c>
      <c r="P224" t="s">
        <v>80</v>
      </c>
      <c r="Q224" t="s">
        <v>81</v>
      </c>
      <c r="R224" t="s">
        <v>74</v>
      </c>
      <c r="S224" t="s">
        <v>82</v>
      </c>
      <c r="T224" t="s">
        <v>74</v>
      </c>
      <c r="U224" t="s">
        <v>74</v>
      </c>
      <c r="V224" t="s">
        <v>74</v>
      </c>
      <c r="W224" t="s">
        <v>1903</v>
      </c>
      <c r="X224" t="s">
        <v>1904</v>
      </c>
      <c r="Y224" t="s">
        <v>74</v>
      </c>
      <c r="Z224" t="s">
        <v>74</v>
      </c>
      <c r="AA224" t="s">
        <v>86</v>
      </c>
      <c r="AB224" t="s">
        <v>87</v>
      </c>
      <c r="AC224" t="s">
        <v>74</v>
      </c>
      <c r="AD224" t="s">
        <v>74</v>
      </c>
      <c r="AE224" t="s">
        <v>74</v>
      </c>
      <c r="AF224" t="s">
        <v>74</v>
      </c>
      <c r="AG224">
        <v>4</v>
      </c>
      <c r="AH224">
        <v>0</v>
      </c>
      <c r="AI224">
        <v>0</v>
      </c>
      <c r="AJ224">
        <v>0</v>
      </c>
      <c r="AK224">
        <v>0</v>
      </c>
      <c r="AL224" t="s">
        <v>109</v>
      </c>
      <c r="AM224" t="s">
        <v>110</v>
      </c>
      <c r="AN224" t="s">
        <v>111</v>
      </c>
      <c r="AO224" t="s">
        <v>91</v>
      </c>
      <c r="AP224" t="s">
        <v>74</v>
      </c>
      <c r="AQ224" t="s">
        <v>74</v>
      </c>
      <c r="AR224" t="s">
        <v>93</v>
      </c>
      <c r="AS224" t="s">
        <v>94</v>
      </c>
      <c r="AT224" t="s">
        <v>95</v>
      </c>
      <c r="AU224">
        <v>2008</v>
      </c>
      <c r="AV224">
        <v>43</v>
      </c>
      <c r="AW224">
        <v>7</v>
      </c>
      <c r="AX224" t="s">
        <v>74</v>
      </c>
      <c r="AY224" t="s">
        <v>96</v>
      </c>
      <c r="AZ224" t="s">
        <v>74</v>
      </c>
      <c r="BA224" t="s">
        <v>74</v>
      </c>
      <c r="BB224" t="s">
        <v>1898</v>
      </c>
      <c r="BC224" t="s">
        <v>1898</v>
      </c>
      <c r="BD224" t="s">
        <v>74</v>
      </c>
      <c r="BE224" t="s">
        <v>74</v>
      </c>
      <c r="BF224" t="s">
        <v>74</v>
      </c>
      <c r="BG224" t="s">
        <v>74</v>
      </c>
      <c r="BH224" t="s">
        <v>74</v>
      </c>
      <c r="BI224">
        <v>1</v>
      </c>
      <c r="BJ224" t="s">
        <v>98</v>
      </c>
      <c r="BK224" t="s">
        <v>113</v>
      </c>
      <c r="BL224" t="s">
        <v>98</v>
      </c>
      <c r="BM224" t="s">
        <v>100</v>
      </c>
      <c r="BN224" t="s">
        <v>74</v>
      </c>
      <c r="BO224" t="s">
        <v>74</v>
      </c>
      <c r="BP224" t="s">
        <v>74</v>
      </c>
      <c r="BQ224" t="s">
        <v>74</v>
      </c>
      <c r="BR224" t="s">
        <v>101</v>
      </c>
      <c r="BS224" t="s">
        <v>1905</v>
      </c>
      <c r="BT224" t="str">
        <f>HYPERLINK("https%3A%2F%2Fwww.webofscience.com%2Fwos%2Fwoscc%2Ffull-record%2FWOS:000257683100236","View Full Record in Web of Science")</f>
        <v>View Full Record in Web of Science</v>
      </c>
    </row>
    <row r="225" spans="1:72" x14ac:dyDescent="0.15">
      <c r="A225" t="s">
        <v>72</v>
      </c>
      <c r="B225" t="s">
        <v>1906</v>
      </c>
      <c r="C225" t="s">
        <v>74</v>
      </c>
      <c r="D225" t="s">
        <v>74</v>
      </c>
      <c r="E225" t="s">
        <v>74</v>
      </c>
      <c r="F225" t="s">
        <v>1907</v>
      </c>
      <c r="G225" t="s">
        <v>74</v>
      </c>
      <c r="H225" t="s">
        <v>74</v>
      </c>
      <c r="I225" t="s">
        <v>1908</v>
      </c>
      <c r="J225" t="s">
        <v>77</v>
      </c>
      <c r="K225" t="s">
        <v>74</v>
      </c>
      <c r="L225" t="s">
        <v>74</v>
      </c>
      <c r="M225" t="s">
        <v>78</v>
      </c>
      <c r="N225" t="s">
        <v>52</v>
      </c>
      <c r="O225" t="s">
        <v>79</v>
      </c>
      <c r="P225" t="s">
        <v>80</v>
      </c>
      <c r="Q225" t="s">
        <v>81</v>
      </c>
      <c r="R225" t="s">
        <v>74</v>
      </c>
      <c r="S225" t="s">
        <v>82</v>
      </c>
      <c r="T225" t="s">
        <v>74</v>
      </c>
      <c r="U225" t="s">
        <v>1909</v>
      </c>
      <c r="V225" t="s">
        <v>74</v>
      </c>
      <c r="W225" t="s">
        <v>1910</v>
      </c>
      <c r="X225" t="s">
        <v>1911</v>
      </c>
      <c r="Y225" t="s">
        <v>74</v>
      </c>
      <c r="Z225" t="s">
        <v>74</v>
      </c>
      <c r="AA225" t="s">
        <v>74</v>
      </c>
      <c r="AB225" t="s">
        <v>74</v>
      </c>
      <c r="AC225" t="s">
        <v>74</v>
      </c>
      <c r="AD225" t="s">
        <v>74</v>
      </c>
      <c r="AE225" t="s">
        <v>74</v>
      </c>
      <c r="AF225" t="s">
        <v>74</v>
      </c>
      <c r="AG225">
        <v>6</v>
      </c>
      <c r="AH225">
        <v>1</v>
      </c>
      <c r="AI225">
        <v>1</v>
      </c>
      <c r="AJ225">
        <v>0</v>
      </c>
      <c r="AK225">
        <v>2</v>
      </c>
      <c r="AL225" t="s">
        <v>149</v>
      </c>
      <c r="AM225" t="s">
        <v>150</v>
      </c>
      <c r="AN225" t="s">
        <v>151</v>
      </c>
      <c r="AO225" t="s">
        <v>91</v>
      </c>
      <c r="AP225" t="s">
        <v>74</v>
      </c>
      <c r="AQ225" t="s">
        <v>74</v>
      </c>
      <c r="AR225" t="s">
        <v>93</v>
      </c>
      <c r="AS225" t="s">
        <v>94</v>
      </c>
      <c r="AT225" t="s">
        <v>95</v>
      </c>
      <c r="AU225">
        <v>2008</v>
      </c>
      <c r="AV225">
        <v>43</v>
      </c>
      <c r="AW225">
        <v>7</v>
      </c>
      <c r="AX225" t="s">
        <v>74</v>
      </c>
      <c r="AY225" t="s">
        <v>96</v>
      </c>
      <c r="AZ225" t="s">
        <v>74</v>
      </c>
      <c r="BA225" t="s">
        <v>74</v>
      </c>
      <c r="BB225" t="s">
        <v>1912</v>
      </c>
      <c r="BC225" t="s">
        <v>1912</v>
      </c>
      <c r="BD225" t="s">
        <v>74</v>
      </c>
      <c r="BE225" t="s">
        <v>74</v>
      </c>
      <c r="BF225" t="s">
        <v>74</v>
      </c>
      <c r="BG225" t="s">
        <v>74</v>
      </c>
      <c r="BH225" t="s">
        <v>74</v>
      </c>
      <c r="BI225">
        <v>1</v>
      </c>
      <c r="BJ225" t="s">
        <v>98</v>
      </c>
      <c r="BK225" t="s">
        <v>99</v>
      </c>
      <c r="BL225" t="s">
        <v>98</v>
      </c>
      <c r="BM225" t="s">
        <v>100</v>
      </c>
      <c r="BN225" t="s">
        <v>74</v>
      </c>
      <c r="BO225" t="s">
        <v>74</v>
      </c>
      <c r="BP225" t="s">
        <v>74</v>
      </c>
      <c r="BQ225" t="s">
        <v>74</v>
      </c>
      <c r="BR225" t="s">
        <v>101</v>
      </c>
      <c r="BS225" t="s">
        <v>1913</v>
      </c>
      <c r="BT225" t="str">
        <f>HYPERLINK("https%3A%2F%2Fwww.webofscience.com%2Fwos%2Fwoscc%2Ffull-record%2FWOS:000257683100237","View Full Record in Web of Science")</f>
        <v>View Full Record in Web of Science</v>
      </c>
    </row>
    <row r="226" spans="1:72" x14ac:dyDescent="0.15">
      <c r="A226" t="s">
        <v>72</v>
      </c>
      <c r="B226" t="s">
        <v>1914</v>
      </c>
      <c r="C226" t="s">
        <v>74</v>
      </c>
      <c r="D226" t="s">
        <v>74</v>
      </c>
      <c r="E226" t="s">
        <v>74</v>
      </c>
      <c r="F226" t="s">
        <v>1915</v>
      </c>
      <c r="G226" t="s">
        <v>74</v>
      </c>
      <c r="H226" t="s">
        <v>74</v>
      </c>
      <c r="I226" t="s">
        <v>1916</v>
      </c>
      <c r="J226" t="s">
        <v>77</v>
      </c>
      <c r="K226" t="s">
        <v>74</v>
      </c>
      <c r="L226" t="s">
        <v>74</v>
      </c>
      <c r="M226" t="s">
        <v>78</v>
      </c>
      <c r="N226" t="s">
        <v>52</v>
      </c>
      <c r="O226" t="s">
        <v>79</v>
      </c>
      <c r="P226" t="s">
        <v>80</v>
      </c>
      <c r="Q226" t="s">
        <v>81</v>
      </c>
      <c r="R226" t="s">
        <v>74</v>
      </c>
      <c r="S226" t="s">
        <v>82</v>
      </c>
      <c r="T226" t="s">
        <v>74</v>
      </c>
      <c r="U226" t="s">
        <v>74</v>
      </c>
      <c r="V226" t="s">
        <v>74</v>
      </c>
      <c r="W226" t="s">
        <v>1917</v>
      </c>
      <c r="X226" t="s">
        <v>858</v>
      </c>
      <c r="Y226" t="s">
        <v>74</v>
      </c>
      <c r="Z226" t="s">
        <v>1918</v>
      </c>
      <c r="AA226" t="s">
        <v>74</v>
      </c>
      <c r="AB226" t="s">
        <v>74</v>
      </c>
      <c r="AC226" t="s">
        <v>74</v>
      </c>
      <c r="AD226" t="s">
        <v>74</v>
      </c>
      <c r="AE226" t="s">
        <v>74</v>
      </c>
      <c r="AF226" t="s">
        <v>74</v>
      </c>
      <c r="AG226">
        <v>8</v>
      </c>
      <c r="AH226">
        <v>0</v>
      </c>
      <c r="AI226">
        <v>0</v>
      </c>
      <c r="AJ226">
        <v>0</v>
      </c>
      <c r="AK226">
        <v>1</v>
      </c>
      <c r="AL226" t="s">
        <v>109</v>
      </c>
      <c r="AM226" t="s">
        <v>110</v>
      </c>
      <c r="AN226" t="s">
        <v>111</v>
      </c>
      <c r="AO226" t="s">
        <v>91</v>
      </c>
      <c r="AP226" t="s">
        <v>74</v>
      </c>
      <c r="AQ226" t="s">
        <v>74</v>
      </c>
      <c r="AR226" t="s">
        <v>93</v>
      </c>
      <c r="AS226" t="s">
        <v>94</v>
      </c>
      <c r="AT226" t="s">
        <v>95</v>
      </c>
      <c r="AU226">
        <v>2008</v>
      </c>
      <c r="AV226">
        <v>43</v>
      </c>
      <c r="AW226">
        <v>7</v>
      </c>
      <c r="AX226" t="s">
        <v>74</v>
      </c>
      <c r="AY226" t="s">
        <v>96</v>
      </c>
      <c r="AZ226" t="s">
        <v>74</v>
      </c>
      <c r="BA226" t="s">
        <v>74</v>
      </c>
      <c r="BB226" t="s">
        <v>1912</v>
      </c>
      <c r="BC226" t="s">
        <v>1912</v>
      </c>
      <c r="BD226" t="s">
        <v>74</v>
      </c>
      <c r="BE226" t="s">
        <v>74</v>
      </c>
      <c r="BF226" t="s">
        <v>74</v>
      </c>
      <c r="BG226" t="s">
        <v>74</v>
      </c>
      <c r="BH226" t="s">
        <v>74</v>
      </c>
      <c r="BI226">
        <v>1</v>
      </c>
      <c r="BJ226" t="s">
        <v>98</v>
      </c>
      <c r="BK226" t="s">
        <v>113</v>
      </c>
      <c r="BL226" t="s">
        <v>98</v>
      </c>
      <c r="BM226" t="s">
        <v>100</v>
      </c>
      <c r="BN226" t="s">
        <v>74</v>
      </c>
      <c r="BO226" t="s">
        <v>74</v>
      </c>
      <c r="BP226" t="s">
        <v>74</v>
      </c>
      <c r="BQ226" t="s">
        <v>74</v>
      </c>
      <c r="BR226" t="s">
        <v>101</v>
      </c>
      <c r="BS226" t="s">
        <v>1919</v>
      </c>
      <c r="BT226" t="str">
        <f>HYPERLINK("https%3A%2F%2Fwww.webofscience.com%2Fwos%2Fwoscc%2Ffull-record%2FWOS:000257683100238","View Full Record in Web of Science")</f>
        <v>View Full Record in Web of Science</v>
      </c>
    </row>
    <row r="227" spans="1:72" x14ac:dyDescent="0.15">
      <c r="A227" t="s">
        <v>72</v>
      </c>
      <c r="B227" t="s">
        <v>1920</v>
      </c>
      <c r="C227" t="s">
        <v>74</v>
      </c>
      <c r="D227" t="s">
        <v>74</v>
      </c>
      <c r="E227" t="s">
        <v>74</v>
      </c>
      <c r="F227" t="s">
        <v>1921</v>
      </c>
      <c r="G227" t="s">
        <v>74</v>
      </c>
      <c r="H227" t="s">
        <v>74</v>
      </c>
      <c r="I227" t="s">
        <v>1922</v>
      </c>
      <c r="J227" t="s">
        <v>77</v>
      </c>
      <c r="K227" t="s">
        <v>74</v>
      </c>
      <c r="L227" t="s">
        <v>74</v>
      </c>
      <c r="M227" t="s">
        <v>78</v>
      </c>
      <c r="N227" t="s">
        <v>52</v>
      </c>
      <c r="O227" t="s">
        <v>79</v>
      </c>
      <c r="P227" t="s">
        <v>80</v>
      </c>
      <c r="Q227" t="s">
        <v>81</v>
      </c>
      <c r="R227" t="s">
        <v>74</v>
      </c>
      <c r="S227" t="s">
        <v>82</v>
      </c>
      <c r="T227" t="s">
        <v>74</v>
      </c>
      <c r="U227" t="s">
        <v>74</v>
      </c>
      <c r="V227" t="s">
        <v>74</v>
      </c>
      <c r="W227" t="s">
        <v>1923</v>
      </c>
      <c r="X227" t="s">
        <v>1924</v>
      </c>
      <c r="Y227" t="s">
        <v>74</v>
      </c>
      <c r="Z227" t="s">
        <v>74</v>
      </c>
      <c r="AA227" t="s">
        <v>1925</v>
      </c>
      <c r="AB227" t="s">
        <v>74</v>
      </c>
      <c r="AC227" t="s">
        <v>74</v>
      </c>
      <c r="AD227" t="s">
        <v>74</v>
      </c>
      <c r="AE227" t="s">
        <v>74</v>
      </c>
      <c r="AF227" t="s">
        <v>74</v>
      </c>
      <c r="AG227">
        <v>0</v>
      </c>
      <c r="AH227">
        <v>0</v>
      </c>
      <c r="AI227">
        <v>0</v>
      </c>
      <c r="AJ227">
        <v>0</v>
      </c>
      <c r="AK227">
        <v>5</v>
      </c>
      <c r="AL227" t="s">
        <v>109</v>
      </c>
      <c r="AM227" t="s">
        <v>110</v>
      </c>
      <c r="AN227" t="s">
        <v>111</v>
      </c>
      <c r="AO227" t="s">
        <v>91</v>
      </c>
      <c r="AP227" t="s">
        <v>74</v>
      </c>
      <c r="AQ227" t="s">
        <v>74</v>
      </c>
      <c r="AR227" t="s">
        <v>93</v>
      </c>
      <c r="AS227" t="s">
        <v>94</v>
      </c>
      <c r="AT227" t="s">
        <v>95</v>
      </c>
      <c r="AU227">
        <v>2008</v>
      </c>
      <c r="AV227">
        <v>43</v>
      </c>
      <c r="AW227">
        <v>7</v>
      </c>
      <c r="AX227" t="s">
        <v>74</v>
      </c>
      <c r="AY227" t="s">
        <v>96</v>
      </c>
      <c r="AZ227" t="s">
        <v>74</v>
      </c>
      <c r="BA227" t="s">
        <v>74</v>
      </c>
      <c r="BB227" t="s">
        <v>1926</v>
      </c>
      <c r="BC227" t="s">
        <v>1926</v>
      </c>
      <c r="BD227" t="s">
        <v>74</v>
      </c>
      <c r="BE227" t="s">
        <v>74</v>
      </c>
      <c r="BF227" t="s">
        <v>74</v>
      </c>
      <c r="BG227" t="s">
        <v>74</v>
      </c>
      <c r="BH227" t="s">
        <v>74</v>
      </c>
      <c r="BI227">
        <v>1</v>
      </c>
      <c r="BJ227" t="s">
        <v>98</v>
      </c>
      <c r="BK227" t="s">
        <v>113</v>
      </c>
      <c r="BL227" t="s">
        <v>98</v>
      </c>
      <c r="BM227" t="s">
        <v>100</v>
      </c>
      <c r="BN227" t="s">
        <v>74</v>
      </c>
      <c r="BO227" t="s">
        <v>74</v>
      </c>
      <c r="BP227" t="s">
        <v>74</v>
      </c>
      <c r="BQ227" t="s">
        <v>74</v>
      </c>
      <c r="BR227" t="s">
        <v>101</v>
      </c>
      <c r="BS227" t="s">
        <v>1927</v>
      </c>
      <c r="BT227" t="str">
        <f>HYPERLINK("https%3A%2F%2Fwww.webofscience.com%2Fwos%2Fwoscc%2Ffull-record%2FWOS:000257683100239","View Full Record in Web of Science")</f>
        <v>View Full Record in Web of Science</v>
      </c>
    </row>
    <row r="228" spans="1:72" x14ac:dyDescent="0.15">
      <c r="A228" t="s">
        <v>72</v>
      </c>
      <c r="B228" t="s">
        <v>1928</v>
      </c>
      <c r="C228" t="s">
        <v>74</v>
      </c>
      <c r="D228" t="s">
        <v>74</v>
      </c>
      <c r="E228" t="s">
        <v>74</v>
      </c>
      <c r="F228" t="s">
        <v>1929</v>
      </c>
      <c r="G228" t="s">
        <v>74</v>
      </c>
      <c r="H228" t="s">
        <v>74</v>
      </c>
      <c r="I228" t="s">
        <v>1930</v>
      </c>
      <c r="J228" t="s">
        <v>77</v>
      </c>
      <c r="K228" t="s">
        <v>74</v>
      </c>
      <c r="L228" t="s">
        <v>74</v>
      </c>
      <c r="M228" t="s">
        <v>78</v>
      </c>
      <c r="N228" t="s">
        <v>52</v>
      </c>
      <c r="O228" t="s">
        <v>79</v>
      </c>
      <c r="P228" t="s">
        <v>80</v>
      </c>
      <c r="Q228" t="s">
        <v>81</v>
      </c>
      <c r="R228" t="s">
        <v>74</v>
      </c>
      <c r="S228" t="s">
        <v>82</v>
      </c>
      <c r="T228" t="s">
        <v>74</v>
      </c>
      <c r="U228" t="s">
        <v>74</v>
      </c>
      <c r="V228" t="s">
        <v>74</v>
      </c>
      <c r="W228" t="s">
        <v>1931</v>
      </c>
      <c r="X228" t="s">
        <v>403</v>
      </c>
      <c r="Y228" t="s">
        <v>74</v>
      </c>
      <c r="Z228" t="s">
        <v>1932</v>
      </c>
      <c r="AA228" t="s">
        <v>74</v>
      </c>
      <c r="AB228" t="s">
        <v>74</v>
      </c>
      <c r="AC228" t="s">
        <v>74</v>
      </c>
      <c r="AD228" t="s">
        <v>74</v>
      </c>
      <c r="AE228" t="s">
        <v>74</v>
      </c>
      <c r="AF228" t="s">
        <v>74</v>
      </c>
      <c r="AG228">
        <v>11</v>
      </c>
      <c r="AH228">
        <v>1</v>
      </c>
      <c r="AI228">
        <v>1</v>
      </c>
      <c r="AJ228">
        <v>0</v>
      </c>
      <c r="AK228">
        <v>0</v>
      </c>
      <c r="AL228" t="s">
        <v>109</v>
      </c>
      <c r="AM228" t="s">
        <v>110</v>
      </c>
      <c r="AN228" t="s">
        <v>111</v>
      </c>
      <c r="AO228" t="s">
        <v>91</v>
      </c>
      <c r="AP228" t="s">
        <v>74</v>
      </c>
      <c r="AQ228" t="s">
        <v>74</v>
      </c>
      <c r="AR228" t="s">
        <v>93</v>
      </c>
      <c r="AS228" t="s">
        <v>94</v>
      </c>
      <c r="AT228" t="s">
        <v>95</v>
      </c>
      <c r="AU228">
        <v>2008</v>
      </c>
      <c r="AV228">
        <v>43</v>
      </c>
      <c r="AW228">
        <v>7</v>
      </c>
      <c r="AX228" t="s">
        <v>74</v>
      </c>
      <c r="AY228" t="s">
        <v>96</v>
      </c>
      <c r="AZ228" t="s">
        <v>74</v>
      </c>
      <c r="BA228" t="s">
        <v>74</v>
      </c>
      <c r="BB228" t="s">
        <v>1933</v>
      </c>
      <c r="BC228" t="s">
        <v>1933</v>
      </c>
      <c r="BD228" t="s">
        <v>74</v>
      </c>
      <c r="BE228" t="s">
        <v>74</v>
      </c>
      <c r="BF228" t="s">
        <v>74</v>
      </c>
      <c r="BG228" t="s">
        <v>74</v>
      </c>
      <c r="BH228" t="s">
        <v>74</v>
      </c>
      <c r="BI228">
        <v>1</v>
      </c>
      <c r="BJ228" t="s">
        <v>98</v>
      </c>
      <c r="BK228" t="s">
        <v>113</v>
      </c>
      <c r="BL228" t="s">
        <v>98</v>
      </c>
      <c r="BM228" t="s">
        <v>100</v>
      </c>
      <c r="BN228" t="s">
        <v>74</v>
      </c>
      <c r="BO228" t="s">
        <v>74</v>
      </c>
      <c r="BP228" t="s">
        <v>74</v>
      </c>
      <c r="BQ228" t="s">
        <v>74</v>
      </c>
      <c r="BR228" t="s">
        <v>101</v>
      </c>
      <c r="BS228" t="s">
        <v>1934</v>
      </c>
      <c r="BT228" t="str">
        <f>HYPERLINK("https%3A%2F%2Fwww.webofscience.com%2Fwos%2Fwoscc%2Ffull-record%2FWOS:000257683100354","View Full Record in Web of Science")</f>
        <v>View Full Record in Web of Science</v>
      </c>
    </row>
    <row r="229" spans="1:72" x14ac:dyDescent="0.15">
      <c r="A229" t="s">
        <v>72</v>
      </c>
      <c r="B229" t="s">
        <v>1935</v>
      </c>
      <c r="C229" t="s">
        <v>74</v>
      </c>
      <c r="D229" t="s">
        <v>74</v>
      </c>
      <c r="E229" t="s">
        <v>74</v>
      </c>
      <c r="F229" t="s">
        <v>1936</v>
      </c>
      <c r="G229" t="s">
        <v>74</v>
      </c>
      <c r="H229" t="s">
        <v>74</v>
      </c>
      <c r="I229" t="s">
        <v>1937</v>
      </c>
      <c r="J229" t="s">
        <v>77</v>
      </c>
      <c r="K229" t="s">
        <v>74</v>
      </c>
      <c r="L229" t="s">
        <v>74</v>
      </c>
      <c r="M229" t="s">
        <v>78</v>
      </c>
      <c r="N229" t="s">
        <v>52</v>
      </c>
      <c r="O229" t="s">
        <v>79</v>
      </c>
      <c r="P229" t="s">
        <v>80</v>
      </c>
      <c r="Q229" t="s">
        <v>81</v>
      </c>
      <c r="R229" t="s">
        <v>74</v>
      </c>
      <c r="S229" t="s">
        <v>82</v>
      </c>
      <c r="T229" t="s">
        <v>74</v>
      </c>
      <c r="U229" t="s">
        <v>1938</v>
      </c>
      <c r="V229" t="s">
        <v>74</v>
      </c>
      <c r="W229" t="s">
        <v>1939</v>
      </c>
      <c r="X229" t="s">
        <v>403</v>
      </c>
      <c r="Y229" t="s">
        <v>74</v>
      </c>
      <c r="Z229" t="s">
        <v>1932</v>
      </c>
      <c r="AA229" t="s">
        <v>74</v>
      </c>
      <c r="AB229" t="s">
        <v>74</v>
      </c>
      <c r="AC229" t="s">
        <v>74</v>
      </c>
      <c r="AD229" t="s">
        <v>74</v>
      </c>
      <c r="AE229" t="s">
        <v>74</v>
      </c>
      <c r="AF229" t="s">
        <v>74</v>
      </c>
      <c r="AG229">
        <v>9</v>
      </c>
      <c r="AH229">
        <v>0</v>
      </c>
      <c r="AI229">
        <v>0</v>
      </c>
      <c r="AJ229">
        <v>0</v>
      </c>
      <c r="AK229">
        <v>1</v>
      </c>
      <c r="AL229" t="s">
        <v>109</v>
      </c>
      <c r="AM229" t="s">
        <v>110</v>
      </c>
      <c r="AN229" t="s">
        <v>111</v>
      </c>
      <c r="AO229" t="s">
        <v>91</v>
      </c>
      <c r="AP229" t="s">
        <v>74</v>
      </c>
      <c r="AQ229" t="s">
        <v>74</v>
      </c>
      <c r="AR229" t="s">
        <v>93</v>
      </c>
      <c r="AS229" t="s">
        <v>94</v>
      </c>
      <c r="AT229" t="s">
        <v>95</v>
      </c>
      <c r="AU229">
        <v>2008</v>
      </c>
      <c r="AV229">
        <v>43</v>
      </c>
      <c r="AW229">
        <v>7</v>
      </c>
      <c r="AX229" t="s">
        <v>74</v>
      </c>
      <c r="AY229" t="s">
        <v>96</v>
      </c>
      <c r="AZ229" t="s">
        <v>74</v>
      </c>
      <c r="BA229" t="s">
        <v>74</v>
      </c>
      <c r="BB229" t="s">
        <v>1926</v>
      </c>
      <c r="BC229" t="s">
        <v>1926</v>
      </c>
      <c r="BD229" t="s">
        <v>74</v>
      </c>
      <c r="BE229" t="s">
        <v>74</v>
      </c>
      <c r="BF229" t="s">
        <v>74</v>
      </c>
      <c r="BG229" t="s">
        <v>74</v>
      </c>
      <c r="BH229" t="s">
        <v>74</v>
      </c>
      <c r="BI229">
        <v>1</v>
      </c>
      <c r="BJ229" t="s">
        <v>98</v>
      </c>
      <c r="BK229" t="s">
        <v>113</v>
      </c>
      <c r="BL229" t="s">
        <v>98</v>
      </c>
      <c r="BM229" t="s">
        <v>100</v>
      </c>
      <c r="BN229" t="s">
        <v>74</v>
      </c>
      <c r="BO229" t="s">
        <v>74</v>
      </c>
      <c r="BP229" t="s">
        <v>74</v>
      </c>
      <c r="BQ229" t="s">
        <v>74</v>
      </c>
      <c r="BR229" t="s">
        <v>101</v>
      </c>
      <c r="BS229" t="s">
        <v>1940</v>
      </c>
      <c r="BT229" t="str">
        <f>HYPERLINK("https%3A%2F%2Fwww.webofscience.com%2Fwos%2Fwoscc%2Ffull-record%2FWOS:000257683100240","View Full Record in Web of Science")</f>
        <v>View Full Record in Web of Science</v>
      </c>
    </row>
    <row r="230" spans="1:72" x14ac:dyDescent="0.15">
      <c r="A230" t="s">
        <v>72</v>
      </c>
      <c r="B230" t="s">
        <v>1941</v>
      </c>
      <c r="C230" t="s">
        <v>74</v>
      </c>
      <c r="D230" t="s">
        <v>74</v>
      </c>
      <c r="E230" t="s">
        <v>74</v>
      </c>
      <c r="F230" t="s">
        <v>1942</v>
      </c>
      <c r="G230" t="s">
        <v>74</v>
      </c>
      <c r="H230" t="s">
        <v>74</v>
      </c>
      <c r="I230" t="s">
        <v>1943</v>
      </c>
      <c r="J230" t="s">
        <v>77</v>
      </c>
      <c r="K230" t="s">
        <v>74</v>
      </c>
      <c r="L230" t="s">
        <v>74</v>
      </c>
      <c r="M230" t="s">
        <v>78</v>
      </c>
      <c r="N230" t="s">
        <v>52</v>
      </c>
      <c r="O230" t="s">
        <v>79</v>
      </c>
      <c r="P230" t="s">
        <v>80</v>
      </c>
      <c r="Q230" t="s">
        <v>81</v>
      </c>
      <c r="R230" t="s">
        <v>74</v>
      </c>
      <c r="S230" t="s">
        <v>82</v>
      </c>
      <c r="T230" t="s">
        <v>74</v>
      </c>
      <c r="U230" t="s">
        <v>1944</v>
      </c>
      <c r="V230" t="s">
        <v>74</v>
      </c>
      <c r="W230" t="s">
        <v>1945</v>
      </c>
      <c r="X230" t="s">
        <v>1946</v>
      </c>
      <c r="Y230" t="s">
        <v>74</v>
      </c>
      <c r="Z230" t="s">
        <v>74</v>
      </c>
      <c r="AA230" t="s">
        <v>1947</v>
      </c>
      <c r="AB230" t="s">
        <v>1948</v>
      </c>
      <c r="AC230" t="s">
        <v>74</v>
      </c>
      <c r="AD230" t="s">
        <v>74</v>
      </c>
      <c r="AE230" t="s">
        <v>74</v>
      </c>
      <c r="AF230" t="s">
        <v>74</v>
      </c>
      <c r="AG230">
        <v>8</v>
      </c>
      <c r="AH230">
        <v>0</v>
      </c>
      <c r="AI230">
        <v>0</v>
      </c>
      <c r="AJ230">
        <v>0</v>
      </c>
      <c r="AK230">
        <v>0</v>
      </c>
      <c r="AL230" t="s">
        <v>149</v>
      </c>
      <c r="AM230" t="s">
        <v>150</v>
      </c>
      <c r="AN230" t="s">
        <v>151</v>
      </c>
      <c r="AO230" t="s">
        <v>91</v>
      </c>
      <c r="AP230" t="s">
        <v>74</v>
      </c>
      <c r="AQ230" t="s">
        <v>74</v>
      </c>
      <c r="AR230" t="s">
        <v>93</v>
      </c>
      <c r="AS230" t="s">
        <v>94</v>
      </c>
      <c r="AT230" t="s">
        <v>95</v>
      </c>
      <c r="AU230">
        <v>2008</v>
      </c>
      <c r="AV230">
        <v>43</v>
      </c>
      <c r="AW230">
        <v>7</v>
      </c>
      <c r="AX230" t="s">
        <v>74</v>
      </c>
      <c r="AY230" t="s">
        <v>96</v>
      </c>
      <c r="AZ230" t="s">
        <v>74</v>
      </c>
      <c r="BA230" t="s">
        <v>74</v>
      </c>
      <c r="BB230" t="s">
        <v>1949</v>
      </c>
      <c r="BC230" t="s">
        <v>1949</v>
      </c>
      <c r="BD230" t="s">
        <v>74</v>
      </c>
      <c r="BE230" t="s">
        <v>74</v>
      </c>
      <c r="BF230" t="s">
        <v>74</v>
      </c>
      <c r="BG230" t="s">
        <v>74</v>
      </c>
      <c r="BH230" t="s">
        <v>74</v>
      </c>
      <c r="BI230">
        <v>1</v>
      </c>
      <c r="BJ230" t="s">
        <v>98</v>
      </c>
      <c r="BK230" t="s">
        <v>99</v>
      </c>
      <c r="BL230" t="s">
        <v>98</v>
      </c>
      <c r="BM230" t="s">
        <v>100</v>
      </c>
      <c r="BN230" t="s">
        <v>74</v>
      </c>
      <c r="BO230" t="s">
        <v>74</v>
      </c>
      <c r="BP230" t="s">
        <v>74</v>
      </c>
      <c r="BQ230" t="s">
        <v>74</v>
      </c>
      <c r="BR230" t="s">
        <v>101</v>
      </c>
      <c r="BS230" t="s">
        <v>1950</v>
      </c>
      <c r="BT230" t="str">
        <f>HYPERLINK("https%3A%2F%2Fwww.webofscience.com%2Fwos%2Fwoscc%2Ffull-record%2FWOS:000257683100241","View Full Record in Web of Science")</f>
        <v>View Full Record in Web of Science</v>
      </c>
    </row>
    <row r="231" spans="1:72" x14ac:dyDescent="0.15">
      <c r="A231" t="s">
        <v>72</v>
      </c>
      <c r="B231" t="s">
        <v>1951</v>
      </c>
      <c r="C231" t="s">
        <v>74</v>
      </c>
      <c r="D231" t="s">
        <v>74</v>
      </c>
      <c r="E231" t="s">
        <v>74</v>
      </c>
      <c r="F231" t="s">
        <v>1952</v>
      </c>
      <c r="G231" t="s">
        <v>74</v>
      </c>
      <c r="H231" t="s">
        <v>74</v>
      </c>
      <c r="I231" t="s">
        <v>1953</v>
      </c>
      <c r="J231" t="s">
        <v>77</v>
      </c>
      <c r="K231" t="s">
        <v>74</v>
      </c>
      <c r="L231" t="s">
        <v>74</v>
      </c>
      <c r="M231" t="s">
        <v>78</v>
      </c>
      <c r="N231" t="s">
        <v>52</v>
      </c>
      <c r="O231" t="s">
        <v>79</v>
      </c>
      <c r="P231" t="s">
        <v>80</v>
      </c>
      <c r="Q231" t="s">
        <v>81</v>
      </c>
      <c r="R231" t="s">
        <v>74</v>
      </c>
      <c r="S231" t="s">
        <v>82</v>
      </c>
      <c r="T231" t="s">
        <v>74</v>
      </c>
      <c r="U231" t="s">
        <v>74</v>
      </c>
      <c r="V231" t="s">
        <v>74</v>
      </c>
      <c r="W231" t="s">
        <v>1954</v>
      </c>
      <c r="X231" t="s">
        <v>1955</v>
      </c>
      <c r="Y231" t="s">
        <v>74</v>
      </c>
      <c r="Z231" t="s">
        <v>74</v>
      </c>
      <c r="AA231" t="s">
        <v>86</v>
      </c>
      <c r="AB231" t="s">
        <v>87</v>
      </c>
      <c r="AC231" t="s">
        <v>74</v>
      </c>
      <c r="AD231" t="s">
        <v>74</v>
      </c>
      <c r="AE231" t="s">
        <v>74</v>
      </c>
      <c r="AF231" t="s">
        <v>74</v>
      </c>
      <c r="AG231">
        <v>3</v>
      </c>
      <c r="AH231">
        <v>1</v>
      </c>
      <c r="AI231">
        <v>1</v>
      </c>
      <c r="AJ231">
        <v>0</v>
      </c>
      <c r="AK231">
        <v>1</v>
      </c>
      <c r="AL231" t="s">
        <v>109</v>
      </c>
      <c r="AM231" t="s">
        <v>110</v>
      </c>
      <c r="AN231" t="s">
        <v>111</v>
      </c>
      <c r="AO231" t="s">
        <v>91</v>
      </c>
      <c r="AP231" t="s">
        <v>74</v>
      </c>
      <c r="AQ231" t="s">
        <v>74</v>
      </c>
      <c r="AR231" t="s">
        <v>93</v>
      </c>
      <c r="AS231" t="s">
        <v>94</v>
      </c>
      <c r="AT231" t="s">
        <v>95</v>
      </c>
      <c r="AU231">
        <v>2008</v>
      </c>
      <c r="AV231">
        <v>43</v>
      </c>
      <c r="AW231">
        <v>7</v>
      </c>
      <c r="AX231" t="s">
        <v>74</v>
      </c>
      <c r="AY231" t="s">
        <v>96</v>
      </c>
      <c r="AZ231" t="s">
        <v>74</v>
      </c>
      <c r="BA231" t="s">
        <v>74</v>
      </c>
      <c r="BB231" t="s">
        <v>1949</v>
      </c>
      <c r="BC231" t="s">
        <v>1949</v>
      </c>
      <c r="BD231" t="s">
        <v>74</v>
      </c>
      <c r="BE231" t="s">
        <v>74</v>
      </c>
      <c r="BF231" t="s">
        <v>74</v>
      </c>
      <c r="BG231" t="s">
        <v>74</v>
      </c>
      <c r="BH231" t="s">
        <v>74</v>
      </c>
      <c r="BI231">
        <v>1</v>
      </c>
      <c r="BJ231" t="s">
        <v>98</v>
      </c>
      <c r="BK231" t="s">
        <v>113</v>
      </c>
      <c r="BL231" t="s">
        <v>98</v>
      </c>
      <c r="BM231" t="s">
        <v>100</v>
      </c>
      <c r="BN231" t="s">
        <v>74</v>
      </c>
      <c r="BO231" t="s">
        <v>74</v>
      </c>
      <c r="BP231" t="s">
        <v>74</v>
      </c>
      <c r="BQ231" t="s">
        <v>74</v>
      </c>
      <c r="BR231" t="s">
        <v>101</v>
      </c>
      <c r="BS231" t="s">
        <v>1956</v>
      </c>
      <c r="BT231" t="str">
        <f>HYPERLINK("https%3A%2F%2Fwww.webofscience.com%2Fwos%2Fwoscc%2Ffull-record%2FWOS:000257683100242","View Full Record in Web of Science")</f>
        <v>View Full Record in Web of Science</v>
      </c>
    </row>
    <row r="232" spans="1:72" x14ac:dyDescent="0.15">
      <c r="A232" t="s">
        <v>72</v>
      </c>
      <c r="B232" t="s">
        <v>1957</v>
      </c>
      <c r="C232" t="s">
        <v>74</v>
      </c>
      <c r="D232" t="s">
        <v>74</v>
      </c>
      <c r="E232" t="s">
        <v>74</v>
      </c>
      <c r="F232" t="s">
        <v>1958</v>
      </c>
      <c r="G232" t="s">
        <v>74</v>
      </c>
      <c r="H232" t="s">
        <v>74</v>
      </c>
      <c r="I232" t="s">
        <v>1959</v>
      </c>
      <c r="J232" t="s">
        <v>77</v>
      </c>
      <c r="K232" t="s">
        <v>74</v>
      </c>
      <c r="L232" t="s">
        <v>74</v>
      </c>
      <c r="M232" t="s">
        <v>78</v>
      </c>
      <c r="N232" t="s">
        <v>52</v>
      </c>
      <c r="O232" t="s">
        <v>79</v>
      </c>
      <c r="P232" t="s">
        <v>80</v>
      </c>
      <c r="Q232" t="s">
        <v>81</v>
      </c>
      <c r="R232" t="s">
        <v>74</v>
      </c>
      <c r="S232" t="s">
        <v>82</v>
      </c>
      <c r="T232" t="s">
        <v>74</v>
      </c>
      <c r="U232" t="s">
        <v>74</v>
      </c>
      <c r="V232" t="s">
        <v>74</v>
      </c>
      <c r="W232" t="s">
        <v>1960</v>
      </c>
      <c r="X232" t="s">
        <v>1961</v>
      </c>
      <c r="Y232" t="s">
        <v>74</v>
      </c>
      <c r="Z232" t="s">
        <v>74</v>
      </c>
      <c r="AA232" t="s">
        <v>1962</v>
      </c>
      <c r="AB232" t="s">
        <v>1963</v>
      </c>
      <c r="AC232" t="s">
        <v>74</v>
      </c>
      <c r="AD232" t="s">
        <v>74</v>
      </c>
      <c r="AE232" t="s">
        <v>74</v>
      </c>
      <c r="AF232" t="s">
        <v>74</v>
      </c>
      <c r="AG232">
        <v>5</v>
      </c>
      <c r="AH232">
        <v>1</v>
      </c>
      <c r="AI232">
        <v>1</v>
      </c>
      <c r="AJ232">
        <v>0</v>
      </c>
      <c r="AK232">
        <v>3</v>
      </c>
      <c r="AL232" t="s">
        <v>109</v>
      </c>
      <c r="AM232" t="s">
        <v>110</v>
      </c>
      <c r="AN232" t="s">
        <v>111</v>
      </c>
      <c r="AO232" t="s">
        <v>91</v>
      </c>
      <c r="AP232" t="s">
        <v>74</v>
      </c>
      <c r="AQ232" t="s">
        <v>74</v>
      </c>
      <c r="AR232" t="s">
        <v>93</v>
      </c>
      <c r="AS232" t="s">
        <v>94</v>
      </c>
      <c r="AT232" t="s">
        <v>95</v>
      </c>
      <c r="AU232">
        <v>2008</v>
      </c>
      <c r="AV232">
        <v>43</v>
      </c>
      <c r="AW232">
        <v>7</v>
      </c>
      <c r="AX232" t="s">
        <v>74</v>
      </c>
      <c r="AY232" t="s">
        <v>96</v>
      </c>
      <c r="AZ232" t="s">
        <v>74</v>
      </c>
      <c r="BA232" t="s">
        <v>74</v>
      </c>
      <c r="BB232" t="s">
        <v>1964</v>
      </c>
      <c r="BC232" t="s">
        <v>1964</v>
      </c>
      <c r="BD232" t="s">
        <v>74</v>
      </c>
      <c r="BE232" t="s">
        <v>74</v>
      </c>
      <c r="BF232" t="s">
        <v>74</v>
      </c>
      <c r="BG232" t="s">
        <v>74</v>
      </c>
      <c r="BH232" t="s">
        <v>74</v>
      </c>
      <c r="BI232">
        <v>1</v>
      </c>
      <c r="BJ232" t="s">
        <v>98</v>
      </c>
      <c r="BK232" t="s">
        <v>113</v>
      </c>
      <c r="BL232" t="s">
        <v>98</v>
      </c>
      <c r="BM232" t="s">
        <v>100</v>
      </c>
      <c r="BN232" t="s">
        <v>74</v>
      </c>
      <c r="BO232" t="s">
        <v>74</v>
      </c>
      <c r="BP232" t="s">
        <v>74</v>
      </c>
      <c r="BQ232" t="s">
        <v>74</v>
      </c>
      <c r="BR232" t="s">
        <v>101</v>
      </c>
      <c r="BS232" t="s">
        <v>1965</v>
      </c>
      <c r="BT232" t="str">
        <f>HYPERLINK("https%3A%2F%2Fwww.webofscience.com%2Fwos%2Fwoscc%2Ffull-record%2FWOS:000257683100243","View Full Record in Web of Science")</f>
        <v>View Full Record in Web of Science</v>
      </c>
    </row>
    <row r="233" spans="1:72" x14ac:dyDescent="0.15">
      <c r="A233" t="s">
        <v>72</v>
      </c>
      <c r="B233" t="s">
        <v>1966</v>
      </c>
      <c r="C233" t="s">
        <v>74</v>
      </c>
      <c r="D233" t="s">
        <v>74</v>
      </c>
      <c r="E233" t="s">
        <v>74</v>
      </c>
      <c r="F233" t="s">
        <v>1967</v>
      </c>
      <c r="G233" t="s">
        <v>74</v>
      </c>
      <c r="H233" t="s">
        <v>74</v>
      </c>
      <c r="I233" t="s">
        <v>1968</v>
      </c>
      <c r="J233" t="s">
        <v>77</v>
      </c>
      <c r="K233" t="s">
        <v>74</v>
      </c>
      <c r="L233" t="s">
        <v>74</v>
      </c>
      <c r="M233" t="s">
        <v>78</v>
      </c>
      <c r="N233" t="s">
        <v>52</v>
      </c>
      <c r="O233" t="s">
        <v>79</v>
      </c>
      <c r="P233" t="s">
        <v>80</v>
      </c>
      <c r="Q233" t="s">
        <v>81</v>
      </c>
      <c r="R233" t="s">
        <v>74</v>
      </c>
      <c r="S233" t="s">
        <v>82</v>
      </c>
      <c r="T233" t="s">
        <v>74</v>
      </c>
      <c r="U233" t="s">
        <v>74</v>
      </c>
      <c r="V233" t="s">
        <v>74</v>
      </c>
      <c r="W233" t="s">
        <v>1969</v>
      </c>
      <c r="X233" t="s">
        <v>1970</v>
      </c>
      <c r="Y233" t="s">
        <v>74</v>
      </c>
      <c r="Z233" t="s">
        <v>1971</v>
      </c>
      <c r="AA233" t="s">
        <v>1261</v>
      </c>
      <c r="AB233" t="s">
        <v>604</v>
      </c>
      <c r="AC233" t="s">
        <v>74</v>
      </c>
      <c r="AD233" t="s">
        <v>74</v>
      </c>
      <c r="AE233" t="s">
        <v>74</v>
      </c>
      <c r="AF233" t="s">
        <v>74</v>
      </c>
      <c r="AG233">
        <v>3</v>
      </c>
      <c r="AH233">
        <v>3</v>
      </c>
      <c r="AI233">
        <v>3</v>
      </c>
      <c r="AJ233">
        <v>0</v>
      </c>
      <c r="AK233">
        <v>0</v>
      </c>
      <c r="AL233" t="s">
        <v>109</v>
      </c>
      <c r="AM233" t="s">
        <v>110</v>
      </c>
      <c r="AN233" t="s">
        <v>111</v>
      </c>
      <c r="AO233" t="s">
        <v>91</v>
      </c>
      <c r="AP233" t="s">
        <v>74</v>
      </c>
      <c r="AQ233" t="s">
        <v>74</v>
      </c>
      <c r="AR233" t="s">
        <v>93</v>
      </c>
      <c r="AS233" t="s">
        <v>94</v>
      </c>
      <c r="AT233" t="s">
        <v>95</v>
      </c>
      <c r="AU233">
        <v>2008</v>
      </c>
      <c r="AV233">
        <v>43</v>
      </c>
      <c r="AW233">
        <v>7</v>
      </c>
      <c r="AX233" t="s">
        <v>74</v>
      </c>
      <c r="AY233" t="s">
        <v>96</v>
      </c>
      <c r="AZ233" t="s">
        <v>74</v>
      </c>
      <c r="BA233" t="s">
        <v>74</v>
      </c>
      <c r="BB233" t="s">
        <v>1964</v>
      </c>
      <c r="BC233" t="s">
        <v>1964</v>
      </c>
      <c r="BD233" t="s">
        <v>74</v>
      </c>
      <c r="BE233" t="s">
        <v>74</v>
      </c>
      <c r="BF233" t="s">
        <v>74</v>
      </c>
      <c r="BG233" t="s">
        <v>74</v>
      </c>
      <c r="BH233" t="s">
        <v>74</v>
      </c>
      <c r="BI233">
        <v>1</v>
      </c>
      <c r="BJ233" t="s">
        <v>98</v>
      </c>
      <c r="BK233" t="s">
        <v>113</v>
      </c>
      <c r="BL233" t="s">
        <v>98</v>
      </c>
      <c r="BM233" t="s">
        <v>100</v>
      </c>
      <c r="BN233" t="s">
        <v>74</v>
      </c>
      <c r="BO233" t="s">
        <v>74</v>
      </c>
      <c r="BP233" t="s">
        <v>74</v>
      </c>
      <c r="BQ233" t="s">
        <v>74</v>
      </c>
      <c r="BR233" t="s">
        <v>101</v>
      </c>
      <c r="BS233" t="s">
        <v>1972</v>
      </c>
      <c r="BT233" t="str">
        <f>HYPERLINK("https%3A%2F%2Fwww.webofscience.com%2Fwos%2Fwoscc%2Ffull-record%2FWOS:000257683100244","View Full Record in Web of Science")</f>
        <v>View Full Record in Web of Science</v>
      </c>
    </row>
    <row r="234" spans="1:72" x14ac:dyDescent="0.15">
      <c r="A234" t="s">
        <v>72</v>
      </c>
      <c r="B234" t="s">
        <v>1973</v>
      </c>
      <c r="C234" t="s">
        <v>74</v>
      </c>
      <c r="D234" t="s">
        <v>74</v>
      </c>
      <c r="E234" t="s">
        <v>74</v>
      </c>
      <c r="F234" t="s">
        <v>1974</v>
      </c>
      <c r="G234" t="s">
        <v>74</v>
      </c>
      <c r="H234" t="s">
        <v>74</v>
      </c>
      <c r="I234" t="s">
        <v>1975</v>
      </c>
      <c r="J234" t="s">
        <v>77</v>
      </c>
      <c r="K234" t="s">
        <v>74</v>
      </c>
      <c r="L234" t="s">
        <v>74</v>
      </c>
      <c r="M234" t="s">
        <v>78</v>
      </c>
      <c r="N234" t="s">
        <v>52</v>
      </c>
      <c r="O234" t="s">
        <v>79</v>
      </c>
      <c r="P234" t="s">
        <v>80</v>
      </c>
      <c r="Q234" t="s">
        <v>81</v>
      </c>
      <c r="R234" t="s">
        <v>74</v>
      </c>
      <c r="S234" t="s">
        <v>82</v>
      </c>
      <c r="T234" t="s">
        <v>74</v>
      </c>
      <c r="U234" t="s">
        <v>74</v>
      </c>
      <c r="V234" t="s">
        <v>74</v>
      </c>
      <c r="W234" t="s">
        <v>1976</v>
      </c>
      <c r="X234" t="s">
        <v>561</v>
      </c>
      <c r="Y234" t="s">
        <v>74</v>
      </c>
      <c r="Z234" t="s">
        <v>1977</v>
      </c>
      <c r="AA234" t="s">
        <v>74</v>
      </c>
      <c r="AB234" t="s">
        <v>74</v>
      </c>
      <c r="AC234" t="s">
        <v>74</v>
      </c>
      <c r="AD234" t="s">
        <v>74</v>
      </c>
      <c r="AE234" t="s">
        <v>74</v>
      </c>
      <c r="AF234" t="s">
        <v>74</v>
      </c>
      <c r="AG234">
        <v>7</v>
      </c>
      <c r="AH234">
        <v>2</v>
      </c>
      <c r="AI234">
        <v>2</v>
      </c>
      <c r="AJ234">
        <v>0</v>
      </c>
      <c r="AK234">
        <v>0</v>
      </c>
      <c r="AL234" t="s">
        <v>88</v>
      </c>
      <c r="AM234" t="s">
        <v>89</v>
      </c>
      <c r="AN234" t="s">
        <v>90</v>
      </c>
      <c r="AO234" t="s">
        <v>91</v>
      </c>
      <c r="AP234" t="s">
        <v>92</v>
      </c>
      <c r="AQ234" t="s">
        <v>74</v>
      </c>
      <c r="AR234" t="s">
        <v>93</v>
      </c>
      <c r="AS234" t="s">
        <v>94</v>
      </c>
      <c r="AT234" t="s">
        <v>95</v>
      </c>
      <c r="AU234">
        <v>2008</v>
      </c>
      <c r="AV234">
        <v>43</v>
      </c>
      <c r="AW234">
        <v>7</v>
      </c>
      <c r="AX234" t="s">
        <v>74</v>
      </c>
      <c r="AY234" t="s">
        <v>96</v>
      </c>
      <c r="AZ234" t="s">
        <v>74</v>
      </c>
      <c r="BA234" t="s">
        <v>74</v>
      </c>
      <c r="BB234" t="s">
        <v>1978</v>
      </c>
      <c r="BC234" t="s">
        <v>1978</v>
      </c>
      <c r="BD234" t="s">
        <v>74</v>
      </c>
      <c r="BE234" t="s">
        <v>74</v>
      </c>
      <c r="BF234" t="s">
        <v>74</v>
      </c>
      <c r="BG234" t="s">
        <v>74</v>
      </c>
      <c r="BH234" t="s">
        <v>74</v>
      </c>
      <c r="BI234">
        <v>1</v>
      </c>
      <c r="BJ234" t="s">
        <v>98</v>
      </c>
      <c r="BK234" t="s">
        <v>99</v>
      </c>
      <c r="BL234" t="s">
        <v>98</v>
      </c>
      <c r="BM234" t="s">
        <v>100</v>
      </c>
      <c r="BN234" t="s">
        <v>74</v>
      </c>
      <c r="BO234" t="s">
        <v>74</v>
      </c>
      <c r="BP234" t="s">
        <v>74</v>
      </c>
      <c r="BQ234" t="s">
        <v>74</v>
      </c>
      <c r="BR234" t="s">
        <v>101</v>
      </c>
      <c r="BS234" t="s">
        <v>1979</v>
      </c>
      <c r="BT234" t="str">
        <f>HYPERLINK("https%3A%2F%2Fwww.webofscience.com%2Fwos%2Fwoscc%2Ffull-record%2FWOS:000257683100245","View Full Record in Web of Science")</f>
        <v>View Full Record in Web of Science</v>
      </c>
    </row>
    <row r="235" spans="1:72" x14ac:dyDescent="0.15">
      <c r="A235" t="s">
        <v>72</v>
      </c>
      <c r="B235" t="s">
        <v>1980</v>
      </c>
      <c r="C235" t="s">
        <v>74</v>
      </c>
      <c r="D235" t="s">
        <v>74</v>
      </c>
      <c r="E235" t="s">
        <v>74</v>
      </c>
      <c r="F235" t="s">
        <v>1981</v>
      </c>
      <c r="G235" t="s">
        <v>74</v>
      </c>
      <c r="H235" t="s">
        <v>74</v>
      </c>
      <c r="I235" t="s">
        <v>1982</v>
      </c>
      <c r="J235" t="s">
        <v>77</v>
      </c>
      <c r="K235" t="s">
        <v>74</v>
      </c>
      <c r="L235" t="s">
        <v>74</v>
      </c>
      <c r="M235" t="s">
        <v>78</v>
      </c>
      <c r="N235" t="s">
        <v>52</v>
      </c>
      <c r="O235" t="s">
        <v>79</v>
      </c>
      <c r="P235" t="s">
        <v>80</v>
      </c>
      <c r="Q235" t="s">
        <v>81</v>
      </c>
      <c r="R235" t="s">
        <v>74</v>
      </c>
      <c r="S235" t="s">
        <v>82</v>
      </c>
      <c r="T235" t="s">
        <v>74</v>
      </c>
      <c r="U235" t="s">
        <v>74</v>
      </c>
      <c r="V235" t="s">
        <v>74</v>
      </c>
      <c r="W235" t="s">
        <v>1983</v>
      </c>
      <c r="X235" t="s">
        <v>1984</v>
      </c>
      <c r="Y235" t="s">
        <v>74</v>
      </c>
      <c r="Z235" t="s">
        <v>1985</v>
      </c>
      <c r="AA235" t="s">
        <v>74</v>
      </c>
      <c r="AB235" t="s">
        <v>74</v>
      </c>
      <c r="AC235" t="s">
        <v>74</v>
      </c>
      <c r="AD235" t="s">
        <v>74</v>
      </c>
      <c r="AE235" t="s">
        <v>74</v>
      </c>
      <c r="AF235" t="s">
        <v>74</v>
      </c>
      <c r="AG235">
        <v>6</v>
      </c>
      <c r="AH235">
        <v>1</v>
      </c>
      <c r="AI235">
        <v>1</v>
      </c>
      <c r="AJ235">
        <v>0</v>
      </c>
      <c r="AK235">
        <v>1</v>
      </c>
      <c r="AL235" t="s">
        <v>109</v>
      </c>
      <c r="AM235" t="s">
        <v>110</v>
      </c>
      <c r="AN235" t="s">
        <v>111</v>
      </c>
      <c r="AO235" t="s">
        <v>91</v>
      </c>
      <c r="AP235" t="s">
        <v>74</v>
      </c>
      <c r="AQ235" t="s">
        <v>74</v>
      </c>
      <c r="AR235" t="s">
        <v>93</v>
      </c>
      <c r="AS235" t="s">
        <v>94</v>
      </c>
      <c r="AT235" t="s">
        <v>95</v>
      </c>
      <c r="AU235">
        <v>2008</v>
      </c>
      <c r="AV235">
        <v>43</v>
      </c>
      <c r="AW235">
        <v>7</v>
      </c>
      <c r="AX235" t="s">
        <v>74</v>
      </c>
      <c r="AY235" t="s">
        <v>96</v>
      </c>
      <c r="AZ235" t="s">
        <v>74</v>
      </c>
      <c r="BA235" t="s">
        <v>74</v>
      </c>
      <c r="BB235" t="s">
        <v>1986</v>
      </c>
      <c r="BC235" t="s">
        <v>1986</v>
      </c>
      <c r="BD235" t="s">
        <v>74</v>
      </c>
      <c r="BE235" t="s">
        <v>74</v>
      </c>
      <c r="BF235" t="s">
        <v>74</v>
      </c>
      <c r="BG235" t="s">
        <v>74</v>
      </c>
      <c r="BH235" t="s">
        <v>74</v>
      </c>
      <c r="BI235">
        <v>1</v>
      </c>
      <c r="BJ235" t="s">
        <v>98</v>
      </c>
      <c r="BK235" t="s">
        <v>113</v>
      </c>
      <c r="BL235" t="s">
        <v>98</v>
      </c>
      <c r="BM235" t="s">
        <v>100</v>
      </c>
      <c r="BN235" t="s">
        <v>74</v>
      </c>
      <c r="BO235" t="s">
        <v>74</v>
      </c>
      <c r="BP235" t="s">
        <v>74</v>
      </c>
      <c r="BQ235" t="s">
        <v>74</v>
      </c>
      <c r="BR235" t="s">
        <v>101</v>
      </c>
      <c r="BS235" t="s">
        <v>1987</v>
      </c>
      <c r="BT235" t="str">
        <f>HYPERLINK("https%3A%2F%2Fwww.webofscience.com%2Fwos%2Fwoscc%2Ffull-record%2FWOS:000257683100247","View Full Record in Web of Science")</f>
        <v>View Full Record in Web of Science</v>
      </c>
    </row>
    <row r="236" spans="1:72" x14ac:dyDescent="0.15">
      <c r="A236" t="s">
        <v>72</v>
      </c>
      <c r="B236" t="s">
        <v>1988</v>
      </c>
      <c r="C236" t="s">
        <v>74</v>
      </c>
      <c r="D236" t="s">
        <v>74</v>
      </c>
      <c r="E236" t="s">
        <v>74</v>
      </c>
      <c r="F236" t="s">
        <v>1989</v>
      </c>
      <c r="G236" t="s">
        <v>74</v>
      </c>
      <c r="H236" t="s">
        <v>74</v>
      </c>
      <c r="I236" t="s">
        <v>1990</v>
      </c>
      <c r="J236" t="s">
        <v>77</v>
      </c>
      <c r="K236" t="s">
        <v>74</v>
      </c>
      <c r="L236" t="s">
        <v>74</v>
      </c>
      <c r="M236" t="s">
        <v>78</v>
      </c>
      <c r="N236" t="s">
        <v>52</v>
      </c>
      <c r="O236" t="s">
        <v>79</v>
      </c>
      <c r="P236" t="s">
        <v>80</v>
      </c>
      <c r="Q236" t="s">
        <v>81</v>
      </c>
      <c r="R236" t="s">
        <v>74</v>
      </c>
      <c r="S236" t="s">
        <v>82</v>
      </c>
      <c r="T236" t="s">
        <v>74</v>
      </c>
      <c r="U236" t="s">
        <v>1991</v>
      </c>
      <c r="V236" t="s">
        <v>74</v>
      </c>
      <c r="W236" t="s">
        <v>1992</v>
      </c>
      <c r="X236" t="s">
        <v>1993</v>
      </c>
      <c r="Y236" t="s">
        <v>74</v>
      </c>
      <c r="Z236" t="s">
        <v>1985</v>
      </c>
      <c r="AA236" t="s">
        <v>74</v>
      </c>
      <c r="AB236" t="s">
        <v>74</v>
      </c>
      <c r="AC236" t="s">
        <v>74</v>
      </c>
      <c r="AD236" t="s">
        <v>74</v>
      </c>
      <c r="AE236" t="s">
        <v>74</v>
      </c>
      <c r="AF236" t="s">
        <v>74</v>
      </c>
      <c r="AG236">
        <v>8</v>
      </c>
      <c r="AH236">
        <v>0</v>
      </c>
      <c r="AI236">
        <v>0</v>
      </c>
      <c r="AJ236">
        <v>0</v>
      </c>
      <c r="AK236">
        <v>1</v>
      </c>
      <c r="AL236" t="s">
        <v>109</v>
      </c>
      <c r="AM236" t="s">
        <v>110</v>
      </c>
      <c r="AN236" t="s">
        <v>111</v>
      </c>
      <c r="AO236" t="s">
        <v>91</v>
      </c>
      <c r="AP236" t="s">
        <v>74</v>
      </c>
      <c r="AQ236" t="s">
        <v>74</v>
      </c>
      <c r="AR236" t="s">
        <v>93</v>
      </c>
      <c r="AS236" t="s">
        <v>94</v>
      </c>
      <c r="AT236" t="s">
        <v>95</v>
      </c>
      <c r="AU236">
        <v>2008</v>
      </c>
      <c r="AV236">
        <v>43</v>
      </c>
      <c r="AW236">
        <v>7</v>
      </c>
      <c r="AX236" t="s">
        <v>74</v>
      </c>
      <c r="AY236" t="s">
        <v>96</v>
      </c>
      <c r="AZ236" t="s">
        <v>74</v>
      </c>
      <c r="BA236" t="s">
        <v>74</v>
      </c>
      <c r="BB236" t="s">
        <v>1933</v>
      </c>
      <c r="BC236" t="s">
        <v>1933</v>
      </c>
      <c r="BD236" t="s">
        <v>74</v>
      </c>
      <c r="BE236" t="s">
        <v>74</v>
      </c>
      <c r="BF236" t="s">
        <v>74</v>
      </c>
      <c r="BG236" t="s">
        <v>74</v>
      </c>
      <c r="BH236" t="s">
        <v>74</v>
      </c>
      <c r="BI236">
        <v>1</v>
      </c>
      <c r="BJ236" t="s">
        <v>98</v>
      </c>
      <c r="BK236" t="s">
        <v>113</v>
      </c>
      <c r="BL236" t="s">
        <v>98</v>
      </c>
      <c r="BM236" t="s">
        <v>100</v>
      </c>
      <c r="BN236" t="s">
        <v>74</v>
      </c>
      <c r="BO236" t="s">
        <v>74</v>
      </c>
      <c r="BP236" t="s">
        <v>74</v>
      </c>
      <c r="BQ236" t="s">
        <v>74</v>
      </c>
      <c r="BR236" t="s">
        <v>101</v>
      </c>
      <c r="BS236" t="s">
        <v>1994</v>
      </c>
      <c r="BT236" t="str">
        <f>HYPERLINK("https%3A%2F%2Fwww.webofscience.com%2Fwos%2Fwoscc%2Ffull-record%2FWOS:000257683100355","View Full Record in Web of Science")</f>
        <v>View Full Record in Web of Science</v>
      </c>
    </row>
    <row r="237" spans="1:72" x14ac:dyDescent="0.15">
      <c r="A237" t="s">
        <v>72</v>
      </c>
      <c r="B237" t="s">
        <v>1995</v>
      </c>
      <c r="C237" t="s">
        <v>74</v>
      </c>
      <c r="D237" t="s">
        <v>74</v>
      </c>
      <c r="E237" t="s">
        <v>74</v>
      </c>
      <c r="F237" t="s">
        <v>1996</v>
      </c>
      <c r="G237" t="s">
        <v>74</v>
      </c>
      <c r="H237" t="s">
        <v>74</v>
      </c>
      <c r="I237" t="s">
        <v>1997</v>
      </c>
      <c r="J237" t="s">
        <v>77</v>
      </c>
      <c r="K237" t="s">
        <v>74</v>
      </c>
      <c r="L237" t="s">
        <v>74</v>
      </c>
      <c r="M237" t="s">
        <v>78</v>
      </c>
      <c r="N237" t="s">
        <v>52</v>
      </c>
      <c r="O237" t="s">
        <v>79</v>
      </c>
      <c r="P237" t="s">
        <v>80</v>
      </c>
      <c r="Q237" t="s">
        <v>81</v>
      </c>
      <c r="R237" t="s">
        <v>74</v>
      </c>
      <c r="S237" t="s">
        <v>82</v>
      </c>
      <c r="T237" t="s">
        <v>74</v>
      </c>
      <c r="U237" t="s">
        <v>1998</v>
      </c>
      <c r="V237" t="s">
        <v>74</v>
      </c>
      <c r="W237" t="s">
        <v>1999</v>
      </c>
      <c r="X237" t="s">
        <v>2000</v>
      </c>
      <c r="Y237" t="s">
        <v>74</v>
      </c>
      <c r="Z237" t="s">
        <v>2001</v>
      </c>
      <c r="AA237" t="s">
        <v>74</v>
      </c>
      <c r="AB237" t="s">
        <v>74</v>
      </c>
      <c r="AC237" t="s">
        <v>74</v>
      </c>
      <c r="AD237" t="s">
        <v>74</v>
      </c>
      <c r="AE237" t="s">
        <v>74</v>
      </c>
      <c r="AF237" t="s">
        <v>74</v>
      </c>
      <c r="AG237">
        <v>2</v>
      </c>
      <c r="AH237">
        <v>0</v>
      </c>
      <c r="AI237">
        <v>0</v>
      </c>
      <c r="AJ237">
        <v>0</v>
      </c>
      <c r="AK237">
        <v>1</v>
      </c>
      <c r="AL237" t="s">
        <v>109</v>
      </c>
      <c r="AM237" t="s">
        <v>110</v>
      </c>
      <c r="AN237" t="s">
        <v>111</v>
      </c>
      <c r="AO237" t="s">
        <v>91</v>
      </c>
      <c r="AP237" t="s">
        <v>74</v>
      </c>
      <c r="AQ237" t="s">
        <v>74</v>
      </c>
      <c r="AR237" t="s">
        <v>93</v>
      </c>
      <c r="AS237" t="s">
        <v>94</v>
      </c>
      <c r="AT237" t="s">
        <v>95</v>
      </c>
      <c r="AU237">
        <v>2008</v>
      </c>
      <c r="AV237">
        <v>43</v>
      </c>
      <c r="AW237">
        <v>7</v>
      </c>
      <c r="AX237" t="s">
        <v>74</v>
      </c>
      <c r="AY237" t="s">
        <v>96</v>
      </c>
      <c r="AZ237" t="s">
        <v>74</v>
      </c>
      <c r="BA237" t="s">
        <v>74</v>
      </c>
      <c r="BB237" t="s">
        <v>1986</v>
      </c>
      <c r="BC237" t="s">
        <v>1986</v>
      </c>
      <c r="BD237" t="s">
        <v>74</v>
      </c>
      <c r="BE237" t="s">
        <v>74</v>
      </c>
      <c r="BF237" t="s">
        <v>74</v>
      </c>
      <c r="BG237" t="s">
        <v>74</v>
      </c>
      <c r="BH237" t="s">
        <v>74</v>
      </c>
      <c r="BI237">
        <v>1</v>
      </c>
      <c r="BJ237" t="s">
        <v>98</v>
      </c>
      <c r="BK237" t="s">
        <v>113</v>
      </c>
      <c r="BL237" t="s">
        <v>98</v>
      </c>
      <c r="BM237" t="s">
        <v>100</v>
      </c>
      <c r="BN237" t="s">
        <v>74</v>
      </c>
      <c r="BO237" t="s">
        <v>74</v>
      </c>
      <c r="BP237" t="s">
        <v>74</v>
      </c>
      <c r="BQ237" t="s">
        <v>74</v>
      </c>
      <c r="BR237" t="s">
        <v>101</v>
      </c>
      <c r="BS237" t="s">
        <v>2002</v>
      </c>
      <c r="BT237" t="str">
        <f>HYPERLINK("https%3A%2F%2Fwww.webofscience.com%2Fwos%2Fwoscc%2Ffull-record%2FWOS:000257683100248","View Full Record in Web of Science")</f>
        <v>View Full Record in Web of Science</v>
      </c>
    </row>
    <row r="238" spans="1:72" x14ac:dyDescent="0.15">
      <c r="A238" t="s">
        <v>72</v>
      </c>
      <c r="B238" t="s">
        <v>2003</v>
      </c>
      <c r="C238" t="s">
        <v>74</v>
      </c>
      <c r="D238" t="s">
        <v>74</v>
      </c>
      <c r="E238" t="s">
        <v>74</v>
      </c>
      <c r="F238" t="s">
        <v>2004</v>
      </c>
      <c r="G238" t="s">
        <v>74</v>
      </c>
      <c r="H238" t="s">
        <v>74</v>
      </c>
      <c r="I238" t="s">
        <v>2005</v>
      </c>
      <c r="J238" t="s">
        <v>77</v>
      </c>
      <c r="K238" t="s">
        <v>74</v>
      </c>
      <c r="L238" t="s">
        <v>74</v>
      </c>
      <c r="M238" t="s">
        <v>78</v>
      </c>
      <c r="N238" t="s">
        <v>52</v>
      </c>
      <c r="O238" t="s">
        <v>79</v>
      </c>
      <c r="P238" t="s">
        <v>80</v>
      </c>
      <c r="Q238" t="s">
        <v>81</v>
      </c>
      <c r="R238" t="s">
        <v>74</v>
      </c>
      <c r="S238" t="s">
        <v>82</v>
      </c>
      <c r="T238" t="s">
        <v>74</v>
      </c>
      <c r="U238" t="s">
        <v>74</v>
      </c>
      <c r="V238" t="s">
        <v>74</v>
      </c>
      <c r="W238" t="s">
        <v>2006</v>
      </c>
      <c r="X238" t="s">
        <v>2007</v>
      </c>
      <c r="Y238" t="s">
        <v>74</v>
      </c>
      <c r="Z238" t="s">
        <v>2008</v>
      </c>
      <c r="AA238" t="s">
        <v>2009</v>
      </c>
      <c r="AB238" t="s">
        <v>74</v>
      </c>
      <c r="AC238" t="s">
        <v>74</v>
      </c>
      <c r="AD238" t="s">
        <v>74</v>
      </c>
      <c r="AE238" t="s">
        <v>74</v>
      </c>
      <c r="AF238" t="s">
        <v>74</v>
      </c>
      <c r="AG238">
        <v>3</v>
      </c>
      <c r="AH238">
        <v>0</v>
      </c>
      <c r="AI238">
        <v>0</v>
      </c>
      <c r="AJ238">
        <v>0</v>
      </c>
      <c r="AK238">
        <v>4</v>
      </c>
      <c r="AL238" t="s">
        <v>88</v>
      </c>
      <c r="AM238" t="s">
        <v>89</v>
      </c>
      <c r="AN238" t="s">
        <v>90</v>
      </c>
      <c r="AO238" t="s">
        <v>91</v>
      </c>
      <c r="AP238" t="s">
        <v>92</v>
      </c>
      <c r="AQ238" t="s">
        <v>74</v>
      </c>
      <c r="AR238" t="s">
        <v>93</v>
      </c>
      <c r="AS238" t="s">
        <v>94</v>
      </c>
      <c r="AT238" t="s">
        <v>95</v>
      </c>
      <c r="AU238">
        <v>2008</v>
      </c>
      <c r="AV238">
        <v>43</v>
      </c>
      <c r="AW238">
        <v>7</v>
      </c>
      <c r="AX238" t="s">
        <v>74</v>
      </c>
      <c r="AY238" t="s">
        <v>96</v>
      </c>
      <c r="AZ238" t="s">
        <v>74</v>
      </c>
      <c r="BA238" t="s">
        <v>74</v>
      </c>
      <c r="BB238" t="s">
        <v>1978</v>
      </c>
      <c r="BC238" t="s">
        <v>1978</v>
      </c>
      <c r="BD238" t="s">
        <v>74</v>
      </c>
      <c r="BE238" t="s">
        <v>74</v>
      </c>
      <c r="BF238" t="s">
        <v>74</v>
      </c>
      <c r="BG238" t="s">
        <v>74</v>
      </c>
      <c r="BH238" t="s">
        <v>74</v>
      </c>
      <c r="BI238">
        <v>1</v>
      </c>
      <c r="BJ238" t="s">
        <v>98</v>
      </c>
      <c r="BK238" t="s">
        <v>99</v>
      </c>
      <c r="BL238" t="s">
        <v>98</v>
      </c>
      <c r="BM238" t="s">
        <v>100</v>
      </c>
      <c r="BN238" t="s">
        <v>74</v>
      </c>
      <c r="BO238" t="s">
        <v>74</v>
      </c>
      <c r="BP238" t="s">
        <v>74</v>
      </c>
      <c r="BQ238" t="s">
        <v>74</v>
      </c>
      <c r="BR238" t="s">
        <v>101</v>
      </c>
      <c r="BS238" t="s">
        <v>2010</v>
      </c>
      <c r="BT238" t="str">
        <f>HYPERLINK("https%3A%2F%2Fwww.webofscience.com%2Fwos%2Fwoscc%2Ffull-record%2FWOS:000257683100246","View Full Record in Web of Science")</f>
        <v>View Full Record in Web of Science</v>
      </c>
    </row>
    <row r="239" spans="1:72" x14ac:dyDescent="0.15">
      <c r="A239" t="s">
        <v>72</v>
      </c>
      <c r="B239" t="s">
        <v>2011</v>
      </c>
      <c r="C239" t="s">
        <v>74</v>
      </c>
      <c r="D239" t="s">
        <v>74</v>
      </c>
      <c r="E239" t="s">
        <v>74</v>
      </c>
      <c r="F239" t="s">
        <v>2012</v>
      </c>
      <c r="G239" t="s">
        <v>74</v>
      </c>
      <c r="H239" t="s">
        <v>74</v>
      </c>
      <c r="I239" t="s">
        <v>2013</v>
      </c>
      <c r="J239" t="s">
        <v>77</v>
      </c>
      <c r="K239" t="s">
        <v>74</v>
      </c>
      <c r="L239" t="s">
        <v>74</v>
      </c>
      <c r="M239" t="s">
        <v>78</v>
      </c>
      <c r="N239" t="s">
        <v>52</v>
      </c>
      <c r="O239" t="s">
        <v>79</v>
      </c>
      <c r="P239" t="s">
        <v>80</v>
      </c>
      <c r="Q239" t="s">
        <v>81</v>
      </c>
      <c r="R239" t="s">
        <v>74</v>
      </c>
      <c r="S239" t="s">
        <v>82</v>
      </c>
      <c r="T239" t="s">
        <v>74</v>
      </c>
      <c r="U239" t="s">
        <v>74</v>
      </c>
      <c r="V239" t="s">
        <v>74</v>
      </c>
      <c r="W239" t="s">
        <v>2014</v>
      </c>
      <c r="X239" t="s">
        <v>928</v>
      </c>
      <c r="Y239" t="s">
        <v>74</v>
      </c>
      <c r="Z239" t="s">
        <v>2015</v>
      </c>
      <c r="AA239" t="s">
        <v>74</v>
      </c>
      <c r="AB239" t="s">
        <v>74</v>
      </c>
      <c r="AC239" t="s">
        <v>74</v>
      </c>
      <c r="AD239" t="s">
        <v>74</v>
      </c>
      <c r="AE239" t="s">
        <v>74</v>
      </c>
      <c r="AF239" t="s">
        <v>74</v>
      </c>
      <c r="AG239">
        <v>4</v>
      </c>
      <c r="AH239">
        <v>0</v>
      </c>
      <c r="AI239">
        <v>0</v>
      </c>
      <c r="AJ239">
        <v>0</v>
      </c>
      <c r="AK239">
        <v>0</v>
      </c>
      <c r="AL239" t="s">
        <v>109</v>
      </c>
      <c r="AM239" t="s">
        <v>110</v>
      </c>
      <c r="AN239" t="s">
        <v>111</v>
      </c>
      <c r="AO239" t="s">
        <v>91</v>
      </c>
      <c r="AP239" t="s">
        <v>74</v>
      </c>
      <c r="AQ239" t="s">
        <v>74</v>
      </c>
      <c r="AR239" t="s">
        <v>93</v>
      </c>
      <c r="AS239" t="s">
        <v>94</v>
      </c>
      <c r="AT239" t="s">
        <v>95</v>
      </c>
      <c r="AU239">
        <v>2008</v>
      </c>
      <c r="AV239">
        <v>43</v>
      </c>
      <c r="AW239">
        <v>7</v>
      </c>
      <c r="AX239" t="s">
        <v>74</v>
      </c>
      <c r="AY239" t="s">
        <v>96</v>
      </c>
      <c r="AZ239" t="s">
        <v>74</v>
      </c>
      <c r="BA239" t="s">
        <v>74</v>
      </c>
      <c r="BB239" t="s">
        <v>2016</v>
      </c>
      <c r="BC239" t="s">
        <v>2016</v>
      </c>
      <c r="BD239" t="s">
        <v>74</v>
      </c>
      <c r="BE239" t="s">
        <v>74</v>
      </c>
      <c r="BF239" t="s">
        <v>74</v>
      </c>
      <c r="BG239" t="s">
        <v>74</v>
      </c>
      <c r="BH239" t="s">
        <v>74</v>
      </c>
      <c r="BI239">
        <v>1</v>
      </c>
      <c r="BJ239" t="s">
        <v>98</v>
      </c>
      <c r="BK239" t="s">
        <v>113</v>
      </c>
      <c r="BL239" t="s">
        <v>98</v>
      </c>
      <c r="BM239" t="s">
        <v>100</v>
      </c>
      <c r="BN239" t="s">
        <v>74</v>
      </c>
      <c r="BO239" t="s">
        <v>74</v>
      </c>
      <c r="BP239" t="s">
        <v>74</v>
      </c>
      <c r="BQ239" t="s">
        <v>74</v>
      </c>
      <c r="BR239" t="s">
        <v>101</v>
      </c>
      <c r="BS239" t="s">
        <v>2017</v>
      </c>
      <c r="BT239" t="str">
        <f>HYPERLINK("https%3A%2F%2Fwww.webofscience.com%2Fwos%2Fwoscc%2Ffull-record%2FWOS:000257683100249","View Full Record in Web of Science")</f>
        <v>View Full Record in Web of Science</v>
      </c>
    </row>
    <row r="240" spans="1:72" x14ac:dyDescent="0.15">
      <c r="A240" t="s">
        <v>72</v>
      </c>
      <c r="B240" t="s">
        <v>2018</v>
      </c>
      <c r="C240" t="s">
        <v>74</v>
      </c>
      <c r="D240" t="s">
        <v>74</v>
      </c>
      <c r="E240" t="s">
        <v>74</v>
      </c>
      <c r="F240" t="s">
        <v>2019</v>
      </c>
      <c r="G240" t="s">
        <v>74</v>
      </c>
      <c r="H240" t="s">
        <v>74</v>
      </c>
      <c r="I240" t="s">
        <v>2020</v>
      </c>
      <c r="J240" t="s">
        <v>77</v>
      </c>
      <c r="K240" t="s">
        <v>74</v>
      </c>
      <c r="L240" t="s">
        <v>74</v>
      </c>
      <c r="M240" t="s">
        <v>78</v>
      </c>
      <c r="N240" t="s">
        <v>52</v>
      </c>
      <c r="O240" t="s">
        <v>79</v>
      </c>
      <c r="P240" t="s">
        <v>80</v>
      </c>
      <c r="Q240" t="s">
        <v>81</v>
      </c>
      <c r="R240" t="s">
        <v>74</v>
      </c>
      <c r="S240" t="s">
        <v>82</v>
      </c>
      <c r="T240" t="s">
        <v>74</v>
      </c>
      <c r="U240" t="s">
        <v>2021</v>
      </c>
      <c r="V240" t="s">
        <v>74</v>
      </c>
      <c r="W240" t="s">
        <v>2022</v>
      </c>
      <c r="X240" t="s">
        <v>2023</v>
      </c>
      <c r="Y240" t="s">
        <v>74</v>
      </c>
      <c r="Z240" t="s">
        <v>2024</v>
      </c>
      <c r="AA240" t="s">
        <v>74</v>
      </c>
      <c r="AB240" t="s">
        <v>74</v>
      </c>
      <c r="AC240" t="s">
        <v>74</v>
      </c>
      <c r="AD240" t="s">
        <v>74</v>
      </c>
      <c r="AE240" t="s">
        <v>74</v>
      </c>
      <c r="AF240" t="s">
        <v>74</v>
      </c>
      <c r="AG240">
        <v>4</v>
      </c>
      <c r="AH240">
        <v>0</v>
      </c>
      <c r="AI240">
        <v>0</v>
      </c>
      <c r="AJ240">
        <v>0</v>
      </c>
      <c r="AK240">
        <v>0</v>
      </c>
      <c r="AL240" t="s">
        <v>88</v>
      </c>
      <c r="AM240" t="s">
        <v>89</v>
      </c>
      <c r="AN240" t="s">
        <v>90</v>
      </c>
      <c r="AO240" t="s">
        <v>91</v>
      </c>
      <c r="AP240" t="s">
        <v>92</v>
      </c>
      <c r="AQ240" t="s">
        <v>74</v>
      </c>
      <c r="AR240" t="s">
        <v>93</v>
      </c>
      <c r="AS240" t="s">
        <v>94</v>
      </c>
      <c r="AT240" t="s">
        <v>95</v>
      </c>
      <c r="AU240">
        <v>2008</v>
      </c>
      <c r="AV240">
        <v>43</v>
      </c>
      <c r="AW240">
        <v>7</v>
      </c>
      <c r="AX240" t="s">
        <v>74</v>
      </c>
      <c r="AY240" t="s">
        <v>96</v>
      </c>
      <c r="AZ240" t="s">
        <v>74</v>
      </c>
      <c r="BA240" t="s">
        <v>74</v>
      </c>
      <c r="BB240" t="s">
        <v>2016</v>
      </c>
      <c r="BC240" t="s">
        <v>2016</v>
      </c>
      <c r="BD240" t="s">
        <v>74</v>
      </c>
      <c r="BE240" t="s">
        <v>74</v>
      </c>
      <c r="BF240" t="s">
        <v>74</v>
      </c>
      <c r="BG240" t="s">
        <v>74</v>
      </c>
      <c r="BH240" t="s">
        <v>74</v>
      </c>
      <c r="BI240">
        <v>1</v>
      </c>
      <c r="BJ240" t="s">
        <v>98</v>
      </c>
      <c r="BK240" t="s">
        <v>99</v>
      </c>
      <c r="BL240" t="s">
        <v>98</v>
      </c>
      <c r="BM240" t="s">
        <v>100</v>
      </c>
      <c r="BN240" t="s">
        <v>74</v>
      </c>
      <c r="BO240" t="s">
        <v>74</v>
      </c>
      <c r="BP240" t="s">
        <v>74</v>
      </c>
      <c r="BQ240" t="s">
        <v>74</v>
      </c>
      <c r="BR240" t="s">
        <v>101</v>
      </c>
      <c r="BS240" t="s">
        <v>2025</v>
      </c>
      <c r="BT240" t="str">
        <f>HYPERLINK("https%3A%2F%2Fwww.webofscience.com%2Fwos%2Fwoscc%2Ffull-record%2FWOS:000257683100250","View Full Record in Web of Science")</f>
        <v>View Full Record in Web of Science</v>
      </c>
    </row>
    <row r="241" spans="1:72" x14ac:dyDescent="0.15">
      <c r="A241" t="s">
        <v>72</v>
      </c>
      <c r="B241" t="s">
        <v>2026</v>
      </c>
      <c r="C241" t="s">
        <v>74</v>
      </c>
      <c r="D241" t="s">
        <v>74</v>
      </c>
      <c r="E241" t="s">
        <v>74</v>
      </c>
      <c r="F241" t="s">
        <v>2027</v>
      </c>
      <c r="G241" t="s">
        <v>74</v>
      </c>
      <c r="H241" t="s">
        <v>74</v>
      </c>
      <c r="I241" t="s">
        <v>2028</v>
      </c>
      <c r="J241" t="s">
        <v>77</v>
      </c>
      <c r="K241" t="s">
        <v>74</v>
      </c>
      <c r="L241" t="s">
        <v>74</v>
      </c>
      <c r="M241" t="s">
        <v>78</v>
      </c>
      <c r="N241" t="s">
        <v>52</v>
      </c>
      <c r="O241" t="s">
        <v>79</v>
      </c>
      <c r="P241" t="s">
        <v>80</v>
      </c>
      <c r="Q241" t="s">
        <v>81</v>
      </c>
      <c r="R241" t="s">
        <v>74</v>
      </c>
      <c r="S241" t="s">
        <v>82</v>
      </c>
      <c r="T241" t="s">
        <v>74</v>
      </c>
      <c r="U241" t="s">
        <v>2029</v>
      </c>
      <c r="V241" t="s">
        <v>74</v>
      </c>
      <c r="W241" t="s">
        <v>2030</v>
      </c>
      <c r="X241" t="s">
        <v>2031</v>
      </c>
      <c r="Y241" t="s">
        <v>74</v>
      </c>
      <c r="Z241" t="s">
        <v>2032</v>
      </c>
      <c r="AA241" t="s">
        <v>74</v>
      </c>
      <c r="AB241" t="s">
        <v>74</v>
      </c>
      <c r="AC241" t="s">
        <v>74</v>
      </c>
      <c r="AD241" t="s">
        <v>74</v>
      </c>
      <c r="AE241" t="s">
        <v>74</v>
      </c>
      <c r="AF241" t="s">
        <v>74</v>
      </c>
      <c r="AG241">
        <v>11</v>
      </c>
      <c r="AH241">
        <v>0</v>
      </c>
      <c r="AI241">
        <v>0</v>
      </c>
      <c r="AJ241">
        <v>0</v>
      </c>
      <c r="AK241">
        <v>1</v>
      </c>
      <c r="AL241" t="s">
        <v>109</v>
      </c>
      <c r="AM241" t="s">
        <v>110</v>
      </c>
      <c r="AN241" t="s">
        <v>111</v>
      </c>
      <c r="AO241" t="s">
        <v>91</v>
      </c>
      <c r="AP241" t="s">
        <v>74</v>
      </c>
      <c r="AQ241" t="s">
        <v>74</v>
      </c>
      <c r="AR241" t="s">
        <v>93</v>
      </c>
      <c r="AS241" t="s">
        <v>94</v>
      </c>
      <c r="AT241" t="s">
        <v>95</v>
      </c>
      <c r="AU241">
        <v>2008</v>
      </c>
      <c r="AV241">
        <v>43</v>
      </c>
      <c r="AW241">
        <v>7</v>
      </c>
      <c r="AX241" t="s">
        <v>74</v>
      </c>
      <c r="AY241" t="s">
        <v>96</v>
      </c>
      <c r="AZ241" t="s">
        <v>74</v>
      </c>
      <c r="BA241" t="s">
        <v>74</v>
      </c>
      <c r="BB241" t="s">
        <v>2033</v>
      </c>
      <c r="BC241" t="s">
        <v>2033</v>
      </c>
      <c r="BD241" t="s">
        <v>74</v>
      </c>
      <c r="BE241" t="s">
        <v>74</v>
      </c>
      <c r="BF241" t="s">
        <v>74</v>
      </c>
      <c r="BG241" t="s">
        <v>74</v>
      </c>
      <c r="BH241" t="s">
        <v>74</v>
      </c>
      <c r="BI241">
        <v>1</v>
      </c>
      <c r="BJ241" t="s">
        <v>98</v>
      </c>
      <c r="BK241" t="s">
        <v>113</v>
      </c>
      <c r="BL241" t="s">
        <v>98</v>
      </c>
      <c r="BM241" t="s">
        <v>100</v>
      </c>
      <c r="BN241" t="s">
        <v>74</v>
      </c>
      <c r="BO241" t="s">
        <v>74</v>
      </c>
      <c r="BP241" t="s">
        <v>74</v>
      </c>
      <c r="BQ241" t="s">
        <v>74</v>
      </c>
      <c r="BR241" t="s">
        <v>101</v>
      </c>
      <c r="BS241" t="s">
        <v>2034</v>
      </c>
      <c r="BT241" t="str">
        <f>HYPERLINK("https%3A%2F%2Fwww.webofscience.com%2Fwos%2Fwoscc%2Ffull-record%2FWOS:000257683100251","View Full Record in Web of Science")</f>
        <v>View Full Record in Web of Science</v>
      </c>
    </row>
    <row r="242" spans="1:72" x14ac:dyDescent="0.15">
      <c r="A242" t="s">
        <v>72</v>
      </c>
      <c r="B242" t="s">
        <v>2035</v>
      </c>
      <c r="C242" t="s">
        <v>74</v>
      </c>
      <c r="D242" t="s">
        <v>74</v>
      </c>
      <c r="E242" t="s">
        <v>74</v>
      </c>
      <c r="F242" t="s">
        <v>2036</v>
      </c>
      <c r="G242" t="s">
        <v>74</v>
      </c>
      <c r="H242" t="s">
        <v>74</v>
      </c>
      <c r="I242" t="s">
        <v>2037</v>
      </c>
      <c r="J242" t="s">
        <v>77</v>
      </c>
      <c r="K242" t="s">
        <v>74</v>
      </c>
      <c r="L242" t="s">
        <v>74</v>
      </c>
      <c r="M242" t="s">
        <v>78</v>
      </c>
      <c r="N242" t="s">
        <v>52</v>
      </c>
      <c r="O242" t="s">
        <v>79</v>
      </c>
      <c r="P242" t="s">
        <v>80</v>
      </c>
      <c r="Q242" t="s">
        <v>81</v>
      </c>
      <c r="R242" t="s">
        <v>74</v>
      </c>
      <c r="S242" t="s">
        <v>82</v>
      </c>
      <c r="T242" t="s">
        <v>74</v>
      </c>
      <c r="U242" t="s">
        <v>2038</v>
      </c>
      <c r="V242" t="s">
        <v>74</v>
      </c>
      <c r="W242" t="s">
        <v>2039</v>
      </c>
      <c r="X242" t="s">
        <v>2040</v>
      </c>
      <c r="Y242" t="s">
        <v>74</v>
      </c>
      <c r="Z242" t="s">
        <v>2041</v>
      </c>
      <c r="AA242" t="s">
        <v>2042</v>
      </c>
      <c r="AB242" t="s">
        <v>2043</v>
      </c>
      <c r="AC242" t="s">
        <v>74</v>
      </c>
      <c r="AD242" t="s">
        <v>74</v>
      </c>
      <c r="AE242" t="s">
        <v>74</v>
      </c>
      <c r="AF242" t="s">
        <v>74</v>
      </c>
      <c r="AG242">
        <v>6</v>
      </c>
      <c r="AH242">
        <v>0</v>
      </c>
      <c r="AI242">
        <v>0</v>
      </c>
      <c r="AJ242">
        <v>0</v>
      </c>
      <c r="AK242">
        <v>0</v>
      </c>
      <c r="AL242" t="s">
        <v>88</v>
      </c>
      <c r="AM242" t="s">
        <v>89</v>
      </c>
      <c r="AN242" t="s">
        <v>90</v>
      </c>
      <c r="AO242" t="s">
        <v>91</v>
      </c>
      <c r="AP242" t="s">
        <v>92</v>
      </c>
      <c r="AQ242" t="s">
        <v>74</v>
      </c>
      <c r="AR242" t="s">
        <v>93</v>
      </c>
      <c r="AS242" t="s">
        <v>94</v>
      </c>
      <c r="AT242" t="s">
        <v>95</v>
      </c>
      <c r="AU242">
        <v>2008</v>
      </c>
      <c r="AV242">
        <v>43</v>
      </c>
      <c r="AW242">
        <v>7</v>
      </c>
      <c r="AX242" t="s">
        <v>74</v>
      </c>
      <c r="AY242" t="s">
        <v>96</v>
      </c>
      <c r="AZ242" t="s">
        <v>74</v>
      </c>
      <c r="BA242" t="s">
        <v>74</v>
      </c>
      <c r="BB242" t="s">
        <v>2033</v>
      </c>
      <c r="BC242" t="s">
        <v>2033</v>
      </c>
      <c r="BD242" t="s">
        <v>74</v>
      </c>
      <c r="BE242" t="s">
        <v>74</v>
      </c>
      <c r="BF242" t="s">
        <v>74</v>
      </c>
      <c r="BG242" t="s">
        <v>74</v>
      </c>
      <c r="BH242" t="s">
        <v>74</v>
      </c>
      <c r="BI242">
        <v>1</v>
      </c>
      <c r="BJ242" t="s">
        <v>98</v>
      </c>
      <c r="BK242" t="s">
        <v>99</v>
      </c>
      <c r="BL242" t="s">
        <v>98</v>
      </c>
      <c r="BM242" t="s">
        <v>100</v>
      </c>
      <c r="BN242" t="s">
        <v>74</v>
      </c>
      <c r="BO242" t="s">
        <v>74</v>
      </c>
      <c r="BP242" t="s">
        <v>74</v>
      </c>
      <c r="BQ242" t="s">
        <v>74</v>
      </c>
      <c r="BR242" t="s">
        <v>101</v>
      </c>
      <c r="BS242" t="s">
        <v>2044</v>
      </c>
      <c r="BT242" t="str">
        <f>HYPERLINK("https%3A%2F%2Fwww.webofscience.com%2Fwos%2Fwoscc%2Ffull-record%2FWOS:000257683100252","View Full Record in Web of Science")</f>
        <v>View Full Record in Web of Science</v>
      </c>
    </row>
    <row r="243" spans="1:72" x14ac:dyDescent="0.15">
      <c r="A243" t="s">
        <v>72</v>
      </c>
      <c r="B243" t="s">
        <v>2045</v>
      </c>
      <c r="C243" t="s">
        <v>74</v>
      </c>
      <c r="D243" t="s">
        <v>74</v>
      </c>
      <c r="E243" t="s">
        <v>74</v>
      </c>
      <c r="F243" t="s">
        <v>2046</v>
      </c>
      <c r="G243" t="s">
        <v>74</v>
      </c>
      <c r="H243" t="s">
        <v>74</v>
      </c>
      <c r="I243" t="s">
        <v>2047</v>
      </c>
      <c r="J243" t="s">
        <v>77</v>
      </c>
      <c r="K243" t="s">
        <v>74</v>
      </c>
      <c r="L243" t="s">
        <v>74</v>
      </c>
      <c r="M243" t="s">
        <v>78</v>
      </c>
      <c r="N243" t="s">
        <v>52</v>
      </c>
      <c r="O243" t="s">
        <v>79</v>
      </c>
      <c r="P243" t="s">
        <v>80</v>
      </c>
      <c r="Q243" t="s">
        <v>81</v>
      </c>
      <c r="R243" t="s">
        <v>74</v>
      </c>
      <c r="S243" t="s">
        <v>82</v>
      </c>
      <c r="T243" t="s">
        <v>74</v>
      </c>
      <c r="U243" t="s">
        <v>74</v>
      </c>
      <c r="V243" t="s">
        <v>74</v>
      </c>
      <c r="W243" t="s">
        <v>2048</v>
      </c>
      <c r="X243" t="s">
        <v>385</v>
      </c>
      <c r="Y243" t="s">
        <v>74</v>
      </c>
      <c r="Z243" t="s">
        <v>2049</v>
      </c>
      <c r="AA243" t="s">
        <v>74</v>
      </c>
      <c r="AB243" t="s">
        <v>387</v>
      </c>
      <c r="AC243" t="s">
        <v>74</v>
      </c>
      <c r="AD243" t="s">
        <v>74</v>
      </c>
      <c r="AE243" t="s">
        <v>74</v>
      </c>
      <c r="AF243" t="s">
        <v>74</v>
      </c>
      <c r="AG243">
        <v>2</v>
      </c>
      <c r="AH243">
        <v>0</v>
      </c>
      <c r="AI243">
        <v>0</v>
      </c>
      <c r="AJ243">
        <v>0</v>
      </c>
      <c r="AK243">
        <v>1</v>
      </c>
      <c r="AL243" t="s">
        <v>109</v>
      </c>
      <c r="AM243" t="s">
        <v>110</v>
      </c>
      <c r="AN243" t="s">
        <v>111</v>
      </c>
      <c r="AO243" t="s">
        <v>91</v>
      </c>
      <c r="AP243" t="s">
        <v>74</v>
      </c>
      <c r="AQ243" t="s">
        <v>74</v>
      </c>
      <c r="AR243" t="s">
        <v>93</v>
      </c>
      <c r="AS243" t="s">
        <v>94</v>
      </c>
      <c r="AT243" t="s">
        <v>95</v>
      </c>
      <c r="AU243">
        <v>2008</v>
      </c>
      <c r="AV243">
        <v>43</v>
      </c>
      <c r="AW243">
        <v>7</v>
      </c>
      <c r="AX243" t="s">
        <v>74</v>
      </c>
      <c r="AY243" t="s">
        <v>96</v>
      </c>
      <c r="AZ243" t="s">
        <v>74</v>
      </c>
      <c r="BA243" t="s">
        <v>74</v>
      </c>
      <c r="BB243" t="s">
        <v>2050</v>
      </c>
      <c r="BC243" t="s">
        <v>2050</v>
      </c>
      <c r="BD243" t="s">
        <v>74</v>
      </c>
      <c r="BE243" t="s">
        <v>74</v>
      </c>
      <c r="BF243" t="s">
        <v>74</v>
      </c>
      <c r="BG243" t="s">
        <v>74</v>
      </c>
      <c r="BH243" t="s">
        <v>74</v>
      </c>
      <c r="BI243">
        <v>1</v>
      </c>
      <c r="BJ243" t="s">
        <v>98</v>
      </c>
      <c r="BK243" t="s">
        <v>113</v>
      </c>
      <c r="BL243" t="s">
        <v>98</v>
      </c>
      <c r="BM243" t="s">
        <v>100</v>
      </c>
      <c r="BN243" t="s">
        <v>74</v>
      </c>
      <c r="BO243" t="s">
        <v>74</v>
      </c>
      <c r="BP243" t="s">
        <v>74</v>
      </c>
      <c r="BQ243" t="s">
        <v>74</v>
      </c>
      <c r="BR243" t="s">
        <v>101</v>
      </c>
      <c r="BS243" t="s">
        <v>2051</v>
      </c>
      <c r="BT243" t="str">
        <f>HYPERLINK("https%3A%2F%2Fwww.webofscience.com%2Fwos%2Fwoscc%2Ffull-record%2FWOS:000257683100253","View Full Record in Web of Science")</f>
        <v>View Full Record in Web of Science</v>
      </c>
    </row>
    <row r="244" spans="1:72" x14ac:dyDescent="0.15">
      <c r="A244" t="s">
        <v>72</v>
      </c>
      <c r="B244" t="s">
        <v>2052</v>
      </c>
      <c r="C244" t="s">
        <v>74</v>
      </c>
      <c r="D244" t="s">
        <v>74</v>
      </c>
      <c r="E244" t="s">
        <v>74</v>
      </c>
      <c r="F244" t="s">
        <v>2053</v>
      </c>
      <c r="G244" t="s">
        <v>74</v>
      </c>
      <c r="H244" t="s">
        <v>74</v>
      </c>
      <c r="I244" t="s">
        <v>2054</v>
      </c>
      <c r="J244" t="s">
        <v>77</v>
      </c>
      <c r="K244" t="s">
        <v>74</v>
      </c>
      <c r="L244" t="s">
        <v>74</v>
      </c>
      <c r="M244" t="s">
        <v>78</v>
      </c>
      <c r="N244" t="s">
        <v>52</v>
      </c>
      <c r="O244" t="s">
        <v>79</v>
      </c>
      <c r="P244" t="s">
        <v>80</v>
      </c>
      <c r="Q244" t="s">
        <v>81</v>
      </c>
      <c r="R244" t="s">
        <v>74</v>
      </c>
      <c r="S244" t="s">
        <v>82</v>
      </c>
      <c r="T244" t="s">
        <v>74</v>
      </c>
      <c r="U244" t="s">
        <v>2055</v>
      </c>
      <c r="V244" t="s">
        <v>74</v>
      </c>
      <c r="W244" t="s">
        <v>2056</v>
      </c>
      <c r="X244" t="s">
        <v>1241</v>
      </c>
      <c r="Y244" t="s">
        <v>74</v>
      </c>
      <c r="Z244" t="s">
        <v>2057</v>
      </c>
      <c r="AA244" t="s">
        <v>74</v>
      </c>
      <c r="AB244" t="s">
        <v>2058</v>
      </c>
      <c r="AC244" t="s">
        <v>74</v>
      </c>
      <c r="AD244" t="s">
        <v>74</v>
      </c>
      <c r="AE244" t="s">
        <v>74</v>
      </c>
      <c r="AF244" t="s">
        <v>74</v>
      </c>
      <c r="AG244">
        <v>5</v>
      </c>
      <c r="AH244">
        <v>0</v>
      </c>
      <c r="AI244">
        <v>0</v>
      </c>
      <c r="AJ244">
        <v>0</v>
      </c>
      <c r="AK244">
        <v>0</v>
      </c>
      <c r="AL244" t="s">
        <v>88</v>
      </c>
      <c r="AM244" t="s">
        <v>89</v>
      </c>
      <c r="AN244" t="s">
        <v>90</v>
      </c>
      <c r="AO244" t="s">
        <v>91</v>
      </c>
      <c r="AP244" t="s">
        <v>92</v>
      </c>
      <c r="AQ244" t="s">
        <v>74</v>
      </c>
      <c r="AR244" t="s">
        <v>93</v>
      </c>
      <c r="AS244" t="s">
        <v>94</v>
      </c>
      <c r="AT244" t="s">
        <v>95</v>
      </c>
      <c r="AU244">
        <v>2008</v>
      </c>
      <c r="AV244">
        <v>43</v>
      </c>
      <c r="AW244">
        <v>7</v>
      </c>
      <c r="AX244" t="s">
        <v>74</v>
      </c>
      <c r="AY244" t="s">
        <v>96</v>
      </c>
      <c r="AZ244" t="s">
        <v>74</v>
      </c>
      <c r="BA244" t="s">
        <v>74</v>
      </c>
      <c r="BB244" t="s">
        <v>2050</v>
      </c>
      <c r="BC244" t="s">
        <v>2050</v>
      </c>
      <c r="BD244" t="s">
        <v>74</v>
      </c>
      <c r="BE244" t="s">
        <v>74</v>
      </c>
      <c r="BF244" t="s">
        <v>74</v>
      </c>
      <c r="BG244" t="s">
        <v>74</v>
      </c>
      <c r="BH244" t="s">
        <v>74</v>
      </c>
      <c r="BI244">
        <v>1</v>
      </c>
      <c r="BJ244" t="s">
        <v>98</v>
      </c>
      <c r="BK244" t="s">
        <v>99</v>
      </c>
      <c r="BL244" t="s">
        <v>98</v>
      </c>
      <c r="BM244" t="s">
        <v>100</v>
      </c>
      <c r="BN244" t="s">
        <v>74</v>
      </c>
      <c r="BO244" t="s">
        <v>74</v>
      </c>
      <c r="BP244" t="s">
        <v>74</v>
      </c>
      <c r="BQ244" t="s">
        <v>74</v>
      </c>
      <c r="BR244" t="s">
        <v>101</v>
      </c>
      <c r="BS244" t="s">
        <v>2059</v>
      </c>
      <c r="BT244" t="str">
        <f>HYPERLINK("https%3A%2F%2Fwww.webofscience.com%2Fwos%2Fwoscc%2Ffull-record%2FWOS:000257683100254","View Full Record in Web of Science")</f>
        <v>View Full Record in Web of Science</v>
      </c>
    </row>
    <row r="245" spans="1:72" x14ac:dyDescent="0.15">
      <c r="A245" t="s">
        <v>72</v>
      </c>
      <c r="B245" t="s">
        <v>2060</v>
      </c>
      <c r="C245" t="s">
        <v>74</v>
      </c>
      <c r="D245" t="s">
        <v>74</v>
      </c>
      <c r="E245" t="s">
        <v>74</v>
      </c>
      <c r="F245" t="s">
        <v>2061</v>
      </c>
      <c r="G245" t="s">
        <v>74</v>
      </c>
      <c r="H245" t="s">
        <v>74</v>
      </c>
      <c r="I245" t="s">
        <v>2062</v>
      </c>
      <c r="J245" t="s">
        <v>77</v>
      </c>
      <c r="K245" t="s">
        <v>74</v>
      </c>
      <c r="L245" t="s">
        <v>74</v>
      </c>
      <c r="M245" t="s">
        <v>78</v>
      </c>
      <c r="N245" t="s">
        <v>52</v>
      </c>
      <c r="O245" t="s">
        <v>79</v>
      </c>
      <c r="P245" t="s">
        <v>80</v>
      </c>
      <c r="Q245" t="s">
        <v>81</v>
      </c>
      <c r="R245" t="s">
        <v>74</v>
      </c>
      <c r="S245" t="s">
        <v>82</v>
      </c>
      <c r="T245" t="s">
        <v>74</v>
      </c>
      <c r="U245" t="s">
        <v>186</v>
      </c>
      <c r="V245" t="s">
        <v>74</v>
      </c>
      <c r="W245" t="s">
        <v>2063</v>
      </c>
      <c r="X245" t="s">
        <v>2064</v>
      </c>
      <c r="Y245" t="s">
        <v>74</v>
      </c>
      <c r="Z245" t="s">
        <v>2065</v>
      </c>
      <c r="AA245" t="s">
        <v>2066</v>
      </c>
      <c r="AB245" t="s">
        <v>2067</v>
      </c>
      <c r="AC245" t="s">
        <v>2068</v>
      </c>
      <c r="AD245" t="s">
        <v>522</v>
      </c>
      <c r="AE245" t="s">
        <v>74</v>
      </c>
      <c r="AF245" t="s">
        <v>74</v>
      </c>
      <c r="AG245">
        <v>3</v>
      </c>
      <c r="AH245">
        <v>2</v>
      </c>
      <c r="AI245">
        <v>2</v>
      </c>
      <c r="AJ245">
        <v>0</v>
      </c>
      <c r="AK245">
        <v>3</v>
      </c>
      <c r="AL245" t="s">
        <v>109</v>
      </c>
      <c r="AM245" t="s">
        <v>110</v>
      </c>
      <c r="AN245" t="s">
        <v>111</v>
      </c>
      <c r="AO245" t="s">
        <v>91</v>
      </c>
      <c r="AP245" t="s">
        <v>74</v>
      </c>
      <c r="AQ245" t="s">
        <v>74</v>
      </c>
      <c r="AR245" t="s">
        <v>93</v>
      </c>
      <c r="AS245" t="s">
        <v>94</v>
      </c>
      <c r="AT245" t="s">
        <v>95</v>
      </c>
      <c r="AU245">
        <v>2008</v>
      </c>
      <c r="AV245">
        <v>43</v>
      </c>
      <c r="AW245">
        <v>7</v>
      </c>
      <c r="AX245" t="s">
        <v>74</v>
      </c>
      <c r="AY245" t="s">
        <v>96</v>
      </c>
      <c r="AZ245" t="s">
        <v>74</v>
      </c>
      <c r="BA245" t="s">
        <v>74</v>
      </c>
      <c r="BB245" t="s">
        <v>2069</v>
      </c>
      <c r="BC245" t="s">
        <v>2069</v>
      </c>
      <c r="BD245" t="s">
        <v>74</v>
      </c>
      <c r="BE245" t="s">
        <v>74</v>
      </c>
      <c r="BF245" t="s">
        <v>74</v>
      </c>
      <c r="BG245" t="s">
        <v>74</v>
      </c>
      <c r="BH245" t="s">
        <v>74</v>
      </c>
      <c r="BI245">
        <v>1</v>
      </c>
      <c r="BJ245" t="s">
        <v>98</v>
      </c>
      <c r="BK245" t="s">
        <v>113</v>
      </c>
      <c r="BL245" t="s">
        <v>98</v>
      </c>
      <c r="BM245" t="s">
        <v>100</v>
      </c>
      <c r="BN245" t="s">
        <v>74</v>
      </c>
      <c r="BO245" t="s">
        <v>74</v>
      </c>
      <c r="BP245" t="s">
        <v>74</v>
      </c>
      <c r="BQ245" t="s">
        <v>74</v>
      </c>
      <c r="BR245" t="s">
        <v>101</v>
      </c>
      <c r="BS245" t="s">
        <v>2070</v>
      </c>
      <c r="BT245" t="str">
        <f>HYPERLINK("https%3A%2F%2Fwww.webofscience.com%2Fwos%2Fwoscc%2Ffull-record%2FWOS:000257683100255","View Full Record in Web of Science")</f>
        <v>View Full Record in Web of Science</v>
      </c>
    </row>
    <row r="246" spans="1:72" x14ac:dyDescent="0.15">
      <c r="A246" t="s">
        <v>72</v>
      </c>
      <c r="B246" t="s">
        <v>2071</v>
      </c>
      <c r="C246" t="s">
        <v>74</v>
      </c>
      <c r="D246" t="s">
        <v>74</v>
      </c>
      <c r="E246" t="s">
        <v>74</v>
      </c>
      <c r="F246" t="s">
        <v>2072</v>
      </c>
      <c r="G246" t="s">
        <v>74</v>
      </c>
      <c r="H246" t="s">
        <v>74</v>
      </c>
      <c r="I246" t="s">
        <v>2073</v>
      </c>
      <c r="J246" t="s">
        <v>77</v>
      </c>
      <c r="K246" t="s">
        <v>74</v>
      </c>
      <c r="L246" t="s">
        <v>74</v>
      </c>
      <c r="M246" t="s">
        <v>78</v>
      </c>
      <c r="N246" t="s">
        <v>52</v>
      </c>
      <c r="O246" t="s">
        <v>79</v>
      </c>
      <c r="P246" t="s">
        <v>80</v>
      </c>
      <c r="Q246" t="s">
        <v>81</v>
      </c>
      <c r="R246" t="s">
        <v>74</v>
      </c>
      <c r="S246" t="s">
        <v>82</v>
      </c>
      <c r="T246" t="s">
        <v>74</v>
      </c>
      <c r="U246" t="s">
        <v>74</v>
      </c>
      <c r="V246" t="s">
        <v>74</v>
      </c>
      <c r="W246" t="s">
        <v>2074</v>
      </c>
      <c r="X246" t="s">
        <v>2075</v>
      </c>
      <c r="Y246" t="s">
        <v>74</v>
      </c>
      <c r="Z246" t="s">
        <v>307</v>
      </c>
      <c r="AA246" t="s">
        <v>74</v>
      </c>
      <c r="AB246" t="s">
        <v>74</v>
      </c>
      <c r="AC246" t="s">
        <v>74</v>
      </c>
      <c r="AD246" t="s">
        <v>74</v>
      </c>
      <c r="AE246" t="s">
        <v>74</v>
      </c>
      <c r="AF246" t="s">
        <v>74</v>
      </c>
      <c r="AG246">
        <v>2</v>
      </c>
      <c r="AH246">
        <v>0</v>
      </c>
      <c r="AI246">
        <v>0</v>
      </c>
      <c r="AJ246">
        <v>0</v>
      </c>
      <c r="AK246">
        <v>1</v>
      </c>
      <c r="AL246" t="s">
        <v>109</v>
      </c>
      <c r="AM246" t="s">
        <v>110</v>
      </c>
      <c r="AN246" t="s">
        <v>111</v>
      </c>
      <c r="AO246" t="s">
        <v>91</v>
      </c>
      <c r="AP246" t="s">
        <v>74</v>
      </c>
      <c r="AQ246" t="s">
        <v>74</v>
      </c>
      <c r="AR246" t="s">
        <v>93</v>
      </c>
      <c r="AS246" t="s">
        <v>94</v>
      </c>
      <c r="AT246" t="s">
        <v>95</v>
      </c>
      <c r="AU246">
        <v>2008</v>
      </c>
      <c r="AV246">
        <v>43</v>
      </c>
      <c r="AW246">
        <v>7</v>
      </c>
      <c r="AX246" t="s">
        <v>74</v>
      </c>
      <c r="AY246" t="s">
        <v>96</v>
      </c>
      <c r="AZ246" t="s">
        <v>74</v>
      </c>
      <c r="BA246" t="s">
        <v>74</v>
      </c>
      <c r="BB246" t="s">
        <v>2069</v>
      </c>
      <c r="BC246" t="s">
        <v>2069</v>
      </c>
      <c r="BD246" t="s">
        <v>74</v>
      </c>
      <c r="BE246" t="s">
        <v>74</v>
      </c>
      <c r="BF246" t="s">
        <v>74</v>
      </c>
      <c r="BG246" t="s">
        <v>74</v>
      </c>
      <c r="BH246" t="s">
        <v>74</v>
      </c>
      <c r="BI246">
        <v>1</v>
      </c>
      <c r="BJ246" t="s">
        <v>98</v>
      </c>
      <c r="BK246" t="s">
        <v>113</v>
      </c>
      <c r="BL246" t="s">
        <v>98</v>
      </c>
      <c r="BM246" t="s">
        <v>100</v>
      </c>
      <c r="BN246" t="s">
        <v>74</v>
      </c>
      <c r="BO246" t="s">
        <v>74</v>
      </c>
      <c r="BP246" t="s">
        <v>74</v>
      </c>
      <c r="BQ246" t="s">
        <v>74</v>
      </c>
      <c r="BR246" t="s">
        <v>101</v>
      </c>
      <c r="BS246" t="s">
        <v>2076</v>
      </c>
      <c r="BT246" t="str">
        <f>HYPERLINK("https%3A%2F%2Fwww.webofscience.com%2Fwos%2Fwoscc%2Ffull-record%2FWOS:000257683100256","View Full Record in Web of Science")</f>
        <v>View Full Record in Web of Science</v>
      </c>
    </row>
    <row r="247" spans="1:72" x14ac:dyDescent="0.15">
      <c r="A247" t="s">
        <v>72</v>
      </c>
      <c r="B247" t="s">
        <v>2077</v>
      </c>
      <c r="C247" t="s">
        <v>74</v>
      </c>
      <c r="D247" t="s">
        <v>74</v>
      </c>
      <c r="E247" t="s">
        <v>74</v>
      </c>
      <c r="F247" t="s">
        <v>2078</v>
      </c>
      <c r="G247" t="s">
        <v>74</v>
      </c>
      <c r="H247" t="s">
        <v>74</v>
      </c>
      <c r="I247" t="s">
        <v>2079</v>
      </c>
      <c r="J247" t="s">
        <v>77</v>
      </c>
      <c r="K247" t="s">
        <v>74</v>
      </c>
      <c r="L247" t="s">
        <v>74</v>
      </c>
      <c r="M247" t="s">
        <v>78</v>
      </c>
      <c r="N247" t="s">
        <v>52</v>
      </c>
      <c r="O247" t="s">
        <v>79</v>
      </c>
      <c r="P247" t="s">
        <v>80</v>
      </c>
      <c r="Q247" t="s">
        <v>81</v>
      </c>
      <c r="R247" t="s">
        <v>74</v>
      </c>
      <c r="S247" t="s">
        <v>82</v>
      </c>
      <c r="T247" t="s">
        <v>74</v>
      </c>
      <c r="U247" t="s">
        <v>74</v>
      </c>
      <c r="V247" t="s">
        <v>74</v>
      </c>
      <c r="W247" t="s">
        <v>2080</v>
      </c>
      <c r="X247" t="s">
        <v>2081</v>
      </c>
      <c r="Y247" t="s">
        <v>74</v>
      </c>
      <c r="Z247" t="s">
        <v>74</v>
      </c>
      <c r="AA247" t="s">
        <v>2082</v>
      </c>
      <c r="AB247" t="s">
        <v>2083</v>
      </c>
      <c r="AC247" t="s">
        <v>74</v>
      </c>
      <c r="AD247" t="s">
        <v>74</v>
      </c>
      <c r="AE247" t="s">
        <v>74</v>
      </c>
      <c r="AF247" t="s">
        <v>74</v>
      </c>
      <c r="AG247">
        <v>0</v>
      </c>
      <c r="AH247">
        <v>0</v>
      </c>
      <c r="AI247">
        <v>0</v>
      </c>
      <c r="AJ247">
        <v>0</v>
      </c>
      <c r="AK247">
        <v>0</v>
      </c>
      <c r="AL247" t="s">
        <v>109</v>
      </c>
      <c r="AM247" t="s">
        <v>110</v>
      </c>
      <c r="AN247" t="s">
        <v>111</v>
      </c>
      <c r="AO247" t="s">
        <v>91</v>
      </c>
      <c r="AP247" t="s">
        <v>74</v>
      </c>
      <c r="AQ247" t="s">
        <v>74</v>
      </c>
      <c r="AR247" t="s">
        <v>93</v>
      </c>
      <c r="AS247" t="s">
        <v>94</v>
      </c>
      <c r="AT247" t="s">
        <v>95</v>
      </c>
      <c r="AU247">
        <v>2008</v>
      </c>
      <c r="AV247">
        <v>43</v>
      </c>
      <c r="AW247">
        <v>7</v>
      </c>
      <c r="AX247" t="s">
        <v>74</v>
      </c>
      <c r="AY247" t="s">
        <v>96</v>
      </c>
      <c r="AZ247" t="s">
        <v>74</v>
      </c>
      <c r="BA247" t="s">
        <v>74</v>
      </c>
      <c r="BB247" t="s">
        <v>2084</v>
      </c>
      <c r="BC247" t="s">
        <v>2084</v>
      </c>
      <c r="BD247" t="s">
        <v>74</v>
      </c>
      <c r="BE247" t="s">
        <v>74</v>
      </c>
      <c r="BF247" t="s">
        <v>74</v>
      </c>
      <c r="BG247" t="s">
        <v>74</v>
      </c>
      <c r="BH247" t="s">
        <v>74</v>
      </c>
      <c r="BI247">
        <v>1</v>
      </c>
      <c r="BJ247" t="s">
        <v>98</v>
      </c>
      <c r="BK247" t="s">
        <v>113</v>
      </c>
      <c r="BL247" t="s">
        <v>98</v>
      </c>
      <c r="BM247" t="s">
        <v>100</v>
      </c>
      <c r="BN247" t="s">
        <v>74</v>
      </c>
      <c r="BO247" t="s">
        <v>74</v>
      </c>
      <c r="BP247" t="s">
        <v>74</v>
      </c>
      <c r="BQ247" t="s">
        <v>74</v>
      </c>
      <c r="BR247" t="s">
        <v>101</v>
      </c>
      <c r="BS247" t="s">
        <v>2085</v>
      </c>
      <c r="BT247" t="str">
        <f>HYPERLINK("https%3A%2F%2Fwww.webofscience.com%2Fwos%2Fwoscc%2Ffull-record%2FWOS:000257683100257","View Full Record in Web of Science")</f>
        <v>View Full Record in Web of Science</v>
      </c>
    </row>
    <row r="248" spans="1:72" x14ac:dyDescent="0.15">
      <c r="A248" t="s">
        <v>72</v>
      </c>
      <c r="B248" t="s">
        <v>2086</v>
      </c>
      <c r="C248" t="s">
        <v>74</v>
      </c>
      <c r="D248" t="s">
        <v>74</v>
      </c>
      <c r="E248" t="s">
        <v>74</v>
      </c>
      <c r="F248" t="s">
        <v>2087</v>
      </c>
      <c r="G248" t="s">
        <v>74</v>
      </c>
      <c r="H248" t="s">
        <v>74</v>
      </c>
      <c r="I248" t="s">
        <v>2088</v>
      </c>
      <c r="J248" t="s">
        <v>77</v>
      </c>
      <c r="K248" t="s">
        <v>74</v>
      </c>
      <c r="L248" t="s">
        <v>74</v>
      </c>
      <c r="M248" t="s">
        <v>78</v>
      </c>
      <c r="N248" t="s">
        <v>52</v>
      </c>
      <c r="O248" t="s">
        <v>79</v>
      </c>
      <c r="P248" t="s">
        <v>80</v>
      </c>
      <c r="Q248" t="s">
        <v>81</v>
      </c>
      <c r="R248" t="s">
        <v>74</v>
      </c>
      <c r="S248" t="s">
        <v>82</v>
      </c>
      <c r="T248" t="s">
        <v>74</v>
      </c>
      <c r="U248" t="s">
        <v>2089</v>
      </c>
      <c r="V248" t="s">
        <v>74</v>
      </c>
      <c r="W248" t="s">
        <v>2090</v>
      </c>
      <c r="X248" t="s">
        <v>1241</v>
      </c>
      <c r="Y248" t="s">
        <v>74</v>
      </c>
      <c r="Z248" t="s">
        <v>2091</v>
      </c>
      <c r="AA248" t="s">
        <v>1243</v>
      </c>
      <c r="AB248" t="s">
        <v>74</v>
      </c>
      <c r="AC248" t="s">
        <v>74</v>
      </c>
      <c r="AD248" t="s">
        <v>74</v>
      </c>
      <c r="AE248" t="s">
        <v>74</v>
      </c>
      <c r="AF248" t="s">
        <v>74</v>
      </c>
      <c r="AG248">
        <v>7</v>
      </c>
      <c r="AH248">
        <v>5</v>
      </c>
      <c r="AI248">
        <v>5</v>
      </c>
      <c r="AJ248">
        <v>0</v>
      </c>
      <c r="AK248">
        <v>2</v>
      </c>
      <c r="AL248" t="s">
        <v>109</v>
      </c>
      <c r="AM248" t="s">
        <v>110</v>
      </c>
      <c r="AN248" t="s">
        <v>111</v>
      </c>
      <c r="AO248" t="s">
        <v>91</v>
      </c>
      <c r="AP248" t="s">
        <v>74</v>
      </c>
      <c r="AQ248" t="s">
        <v>74</v>
      </c>
      <c r="AR248" t="s">
        <v>93</v>
      </c>
      <c r="AS248" t="s">
        <v>94</v>
      </c>
      <c r="AT248" t="s">
        <v>95</v>
      </c>
      <c r="AU248">
        <v>2008</v>
      </c>
      <c r="AV248">
        <v>43</v>
      </c>
      <c r="AW248">
        <v>7</v>
      </c>
      <c r="AX248" t="s">
        <v>74</v>
      </c>
      <c r="AY248" t="s">
        <v>96</v>
      </c>
      <c r="AZ248" t="s">
        <v>74</v>
      </c>
      <c r="BA248" t="s">
        <v>74</v>
      </c>
      <c r="BB248" t="s">
        <v>2084</v>
      </c>
      <c r="BC248" t="s">
        <v>2084</v>
      </c>
      <c r="BD248" t="s">
        <v>74</v>
      </c>
      <c r="BE248" t="s">
        <v>74</v>
      </c>
      <c r="BF248" t="s">
        <v>74</v>
      </c>
      <c r="BG248" t="s">
        <v>74</v>
      </c>
      <c r="BH248" t="s">
        <v>74</v>
      </c>
      <c r="BI248">
        <v>1</v>
      </c>
      <c r="BJ248" t="s">
        <v>98</v>
      </c>
      <c r="BK248" t="s">
        <v>113</v>
      </c>
      <c r="BL248" t="s">
        <v>98</v>
      </c>
      <c r="BM248" t="s">
        <v>100</v>
      </c>
      <c r="BN248" t="s">
        <v>74</v>
      </c>
      <c r="BO248" t="s">
        <v>74</v>
      </c>
      <c r="BP248" t="s">
        <v>74</v>
      </c>
      <c r="BQ248" t="s">
        <v>74</v>
      </c>
      <c r="BR248" t="s">
        <v>101</v>
      </c>
      <c r="BS248" t="s">
        <v>2092</v>
      </c>
      <c r="BT248" t="str">
        <f>HYPERLINK("https%3A%2F%2Fwww.webofscience.com%2Fwos%2Fwoscc%2Ffull-record%2FWOS:000257683100258","View Full Record in Web of Science")</f>
        <v>View Full Record in Web of Science</v>
      </c>
    </row>
    <row r="249" spans="1:72" x14ac:dyDescent="0.15">
      <c r="A249" t="s">
        <v>72</v>
      </c>
      <c r="B249" t="s">
        <v>2093</v>
      </c>
      <c r="C249" t="s">
        <v>74</v>
      </c>
      <c r="D249" t="s">
        <v>74</v>
      </c>
      <c r="E249" t="s">
        <v>74</v>
      </c>
      <c r="F249" t="s">
        <v>2094</v>
      </c>
      <c r="G249" t="s">
        <v>74</v>
      </c>
      <c r="H249" t="s">
        <v>74</v>
      </c>
      <c r="I249" t="s">
        <v>2095</v>
      </c>
      <c r="J249" t="s">
        <v>77</v>
      </c>
      <c r="K249" t="s">
        <v>74</v>
      </c>
      <c r="L249" t="s">
        <v>74</v>
      </c>
      <c r="M249" t="s">
        <v>78</v>
      </c>
      <c r="N249" t="s">
        <v>52</v>
      </c>
      <c r="O249" t="s">
        <v>79</v>
      </c>
      <c r="P249" t="s">
        <v>80</v>
      </c>
      <c r="Q249" t="s">
        <v>81</v>
      </c>
      <c r="R249" t="s">
        <v>74</v>
      </c>
      <c r="S249" t="s">
        <v>82</v>
      </c>
      <c r="T249" t="s">
        <v>74</v>
      </c>
      <c r="U249" t="s">
        <v>2096</v>
      </c>
      <c r="V249" t="s">
        <v>74</v>
      </c>
      <c r="W249" t="s">
        <v>2097</v>
      </c>
      <c r="X249" t="s">
        <v>2098</v>
      </c>
      <c r="Y249" t="s">
        <v>74</v>
      </c>
      <c r="Z249" t="s">
        <v>2099</v>
      </c>
      <c r="AA249" t="s">
        <v>2100</v>
      </c>
      <c r="AB249" t="s">
        <v>2101</v>
      </c>
      <c r="AC249" t="s">
        <v>74</v>
      </c>
      <c r="AD249" t="s">
        <v>74</v>
      </c>
      <c r="AE249" t="s">
        <v>74</v>
      </c>
      <c r="AF249" t="s">
        <v>74</v>
      </c>
      <c r="AG249">
        <v>6</v>
      </c>
      <c r="AH249">
        <v>0</v>
      </c>
      <c r="AI249">
        <v>0</v>
      </c>
      <c r="AJ249">
        <v>0</v>
      </c>
      <c r="AK249">
        <v>2</v>
      </c>
      <c r="AL249" t="s">
        <v>88</v>
      </c>
      <c r="AM249" t="s">
        <v>89</v>
      </c>
      <c r="AN249" t="s">
        <v>90</v>
      </c>
      <c r="AO249" t="s">
        <v>91</v>
      </c>
      <c r="AP249" t="s">
        <v>92</v>
      </c>
      <c r="AQ249" t="s">
        <v>74</v>
      </c>
      <c r="AR249" t="s">
        <v>93</v>
      </c>
      <c r="AS249" t="s">
        <v>94</v>
      </c>
      <c r="AT249" t="s">
        <v>95</v>
      </c>
      <c r="AU249">
        <v>2008</v>
      </c>
      <c r="AV249">
        <v>43</v>
      </c>
      <c r="AW249">
        <v>7</v>
      </c>
      <c r="AX249" t="s">
        <v>74</v>
      </c>
      <c r="AY249" t="s">
        <v>96</v>
      </c>
      <c r="AZ249" t="s">
        <v>74</v>
      </c>
      <c r="BA249" t="s">
        <v>74</v>
      </c>
      <c r="BB249" t="s">
        <v>2102</v>
      </c>
      <c r="BC249" t="s">
        <v>2102</v>
      </c>
      <c r="BD249" t="s">
        <v>74</v>
      </c>
      <c r="BE249" t="s">
        <v>74</v>
      </c>
      <c r="BF249" t="s">
        <v>74</v>
      </c>
      <c r="BG249" t="s">
        <v>74</v>
      </c>
      <c r="BH249" t="s">
        <v>74</v>
      </c>
      <c r="BI249">
        <v>1</v>
      </c>
      <c r="BJ249" t="s">
        <v>98</v>
      </c>
      <c r="BK249" t="s">
        <v>99</v>
      </c>
      <c r="BL249" t="s">
        <v>98</v>
      </c>
      <c r="BM249" t="s">
        <v>100</v>
      </c>
      <c r="BN249" t="s">
        <v>74</v>
      </c>
      <c r="BO249" t="s">
        <v>74</v>
      </c>
      <c r="BP249" t="s">
        <v>74</v>
      </c>
      <c r="BQ249" t="s">
        <v>74</v>
      </c>
      <c r="BR249" t="s">
        <v>101</v>
      </c>
      <c r="BS249" t="s">
        <v>2103</v>
      </c>
      <c r="BT249" t="str">
        <f>HYPERLINK("https%3A%2F%2Fwww.webofscience.com%2Fwos%2Fwoscc%2Ffull-record%2FWOS:000257683100259","View Full Record in Web of Science")</f>
        <v>View Full Record in Web of Science</v>
      </c>
    </row>
    <row r="250" spans="1:72" x14ac:dyDescent="0.15">
      <c r="A250" t="s">
        <v>72</v>
      </c>
      <c r="B250" t="s">
        <v>2104</v>
      </c>
      <c r="C250" t="s">
        <v>74</v>
      </c>
      <c r="D250" t="s">
        <v>74</v>
      </c>
      <c r="E250" t="s">
        <v>74</v>
      </c>
      <c r="F250" t="s">
        <v>2105</v>
      </c>
      <c r="G250" t="s">
        <v>74</v>
      </c>
      <c r="H250" t="s">
        <v>74</v>
      </c>
      <c r="I250" t="s">
        <v>2106</v>
      </c>
      <c r="J250" t="s">
        <v>77</v>
      </c>
      <c r="K250" t="s">
        <v>74</v>
      </c>
      <c r="L250" t="s">
        <v>74</v>
      </c>
      <c r="M250" t="s">
        <v>78</v>
      </c>
      <c r="N250" t="s">
        <v>52</v>
      </c>
      <c r="O250" t="s">
        <v>79</v>
      </c>
      <c r="P250" t="s">
        <v>80</v>
      </c>
      <c r="Q250" t="s">
        <v>81</v>
      </c>
      <c r="R250" t="s">
        <v>74</v>
      </c>
      <c r="S250" t="s">
        <v>82</v>
      </c>
      <c r="T250" t="s">
        <v>74</v>
      </c>
      <c r="U250" t="s">
        <v>74</v>
      </c>
      <c r="V250" t="s">
        <v>74</v>
      </c>
      <c r="W250" t="s">
        <v>2107</v>
      </c>
      <c r="X250" t="s">
        <v>2108</v>
      </c>
      <c r="Y250" t="s">
        <v>74</v>
      </c>
      <c r="Z250" t="s">
        <v>2109</v>
      </c>
      <c r="AA250" t="s">
        <v>74</v>
      </c>
      <c r="AB250" t="s">
        <v>74</v>
      </c>
      <c r="AC250" t="s">
        <v>74</v>
      </c>
      <c r="AD250" t="s">
        <v>74</v>
      </c>
      <c r="AE250" t="s">
        <v>74</v>
      </c>
      <c r="AF250" t="s">
        <v>74</v>
      </c>
      <c r="AG250">
        <v>0</v>
      </c>
      <c r="AH250">
        <v>0</v>
      </c>
      <c r="AI250">
        <v>0</v>
      </c>
      <c r="AJ250">
        <v>0</v>
      </c>
      <c r="AK250">
        <v>0</v>
      </c>
      <c r="AL250" t="s">
        <v>149</v>
      </c>
      <c r="AM250" t="s">
        <v>150</v>
      </c>
      <c r="AN250" t="s">
        <v>151</v>
      </c>
      <c r="AO250" t="s">
        <v>91</v>
      </c>
      <c r="AP250" t="s">
        <v>74</v>
      </c>
      <c r="AQ250" t="s">
        <v>74</v>
      </c>
      <c r="AR250" t="s">
        <v>93</v>
      </c>
      <c r="AS250" t="s">
        <v>94</v>
      </c>
      <c r="AT250" t="s">
        <v>95</v>
      </c>
      <c r="AU250">
        <v>2008</v>
      </c>
      <c r="AV250">
        <v>43</v>
      </c>
      <c r="AW250">
        <v>7</v>
      </c>
      <c r="AX250" t="s">
        <v>74</v>
      </c>
      <c r="AY250" t="s">
        <v>96</v>
      </c>
      <c r="AZ250" t="s">
        <v>74</v>
      </c>
      <c r="BA250" t="s">
        <v>74</v>
      </c>
      <c r="BB250" t="s">
        <v>2102</v>
      </c>
      <c r="BC250" t="s">
        <v>2102</v>
      </c>
      <c r="BD250" t="s">
        <v>74</v>
      </c>
      <c r="BE250" t="s">
        <v>74</v>
      </c>
      <c r="BF250" t="s">
        <v>74</v>
      </c>
      <c r="BG250" t="s">
        <v>74</v>
      </c>
      <c r="BH250" t="s">
        <v>74</v>
      </c>
      <c r="BI250">
        <v>1</v>
      </c>
      <c r="BJ250" t="s">
        <v>98</v>
      </c>
      <c r="BK250" t="s">
        <v>99</v>
      </c>
      <c r="BL250" t="s">
        <v>98</v>
      </c>
      <c r="BM250" t="s">
        <v>100</v>
      </c>
      <c r="BN250" t="s">
        <v>74</v>
      </c>
      <c r="BO250" t="s">
        <v>74</v>
      </c>
      <c r="BP250" t="s">
        <v>74</v>
      </c>
      <c r="BQ250" t="s">
        <v>74</v>
      </c>
      <c r="BR250" t="s">
        <v>101</v>
      </c>
      <c r="BS250" t="s">
        <v>2110</v>
      </c>
      <c r="BT250" t="str">
        <f>HYPERLINK("https%3A%2F%2Fwww.webofscience.com%2Fwos%2Fwoscc%2Ffull-record%2FWOS:000257683100260","View Full Record in Web of Science")</f>
        <v>View Full Record in Web of Science</v>
      </c>
    </row>
    <row r="251" spans="1:72" x14ac:dyDescent="0.15">
      <c r="A251" t="s">
        <v>72</v>
      </c>
      <c r="B251" t="s">
        <v>2111</v>
      </c>
      <c r="C251" t="s">
        <v>74</v>
      </c>
      <c r="D251" t="s">
        <v>74</v>
      </c>
      <c r="E251" t="s">
        <v>74</v>
      </c>
      <c r="F251" t="s">
        <v>2112</v>
      </c>
      <c r="G251" t="s">
        <v>74</v>
      </c>
      <c r="H251" t="s">
        <v>74</v>
      </c>
      <c r="I251" t="s">
        <v>2113</v>
      </c>
      <c r="J251" t="s">
        <v>77</v>
      </c>
      <c r="K251" t="s">
        <v>74</v>
      </c>
      <c r="L251" t="s">
        <v>74</v>
      </c>
      <c r="M251" t="s">
        <v>78</v>
      </c>
      <c r="N251" t="s">
        <v>52</v>
      </c>
      <c r="O251" t="s">
        <v>79</v>
      </c>
      <c r="P251" t="s">
        <v>80</v>
      </c>
      <c r="Q251" t="s">
        <v>81</v>
      </c>
      <c r="R251" t="s">
        <v>74</v>
      </c>
      <c r="S251" t="s">
        <v>82</v>
      </c>
      <c r="T251" t="s">
        <v>74</v>
      </c>
      <c r="U251" t="s">
        <v>2114</v>
      </c>
      <c r="V251" t="s">
        <v>74</v>
      </c>
      <c r="W251" t="s">
        <v>2115</v>
      </c>
      <c r="X251" t="s">
        <v>2116</v>
      </c>
      <c r="Y251" t="s">
        <v>74</v>
      </c>
      <c r="Z251" t="s">
        <v>2117</v>
      </c>
      <c r="AA251" t="s">
        <v>74</v>
      </c>
      <c r="AB251" t="s">
        <v>74</v>
      </c>
      <c r="AC251" t="s">
        <v>74</v>
      </c>
      <c r="AD251" t="s">
        <v>74</v>
      </c>
      <c r="AE251" t="s">
        <v>74</v>
      </c>
      <c r="AF251" t="s">
        <v>74</v>
      </c>
      <c r="AG251">
        <v>7</v>
      </c>
      <c r="AH251">
        <v>0</v>
      </c>
      <c r="AI251">
        <v>0</v>
      </c>
      <c r="AJ251">
        <v>0</v>
      </c>
      <c r="AK251">
        <v>0</v>
      </c>
      <c r="AL251" t="s">
        <v>149</v>
      </c>
      <c r="AM251" t="s">
        <v>150</v>
      </c>
      <c r="AN251" t="s">
        <v>151</v>
      </c>
      <c r="AO251" t="s">
        <v>91</v>
      </c>
      <c r="AP251" t="s">
        <v>74</v>
      </c>
      <c r="AQ251" t="s">
        <v>74</v>
      </c>
      <c r="AR251" t="s">
        <v>93</v>
      </c>
      <c r="AS251" t="s">
        <v>94</v>
      </c>
      <c r="AT251" t="s">
        <v>95</v>
      </c>
      <c r="AU251">
        <v>2008</v>
      </c>
      <c r="AV251">
        <v>43</v>
      </c>
      <c r="AW251">
        <v>7</v>
      </c>
      <c r="AX251" t="s">
        <v>74</v>
      </c>
      <c r="AY251" t="s">
        <v>96</v>
      </c>
      <c r="AZ251" t="s">
        <v>74</v>
      </c>
      <c r="BA251" t="s">
        <v>74</v>
      </c>
      <c r="BB251" t="s">
        <v>2118</v>
      </c>
      <c r="BC251" t="s">
        <v>2118</v>
      </c>
      <c r="BD251" t="s">
        <v>74</v>
      </c>
      <c r="BE251" t="s">
        <v>74</v>
      </c>
      <c r="BF251" t="s">
        <v>74</v>
      </c>
      <c r="BG251" t="s">
        <v>74</v>
      </c>
      <c r="BH251" t="s">
        <v>74</v>
      </c>
      <c r="BI251">
        <v>1</v>
      </c>
      <c r="BJ251" t="s">
        <v>98</v>
      </c>
      <c r="BK251" t="s">
        <v>99</v>
      </c>
      <c r="BL251" t="s">
        <v>98</v>
      </c>
      <c r="BM251" t="s">
        <v>100</v>
      </c>
      <c r="BN251" t="s">
        <v>74</v>
      </c>
      <c r="BO251" t="s">
        <v>74</v>
      </c>
      <c r="BP251" t="s">
        <v>74</v>
      </c>
      <c r="BQ251" t="s">
        <v>74</v>
      </c>
      <c r="BR251" t="s">
        <v>101</v>
      </c>
      <c r="BS251" t="s">
        <v>2119</v>
      </c>
      <c r="BT251" t="str">
        <f>HYPERLINK("https%3A%2F%2Fwww.webofscience.com%2Fwos%2Fwoscc%2Ffull-record%2FWOS:000257683100262","View Full Record in Web of Science")</f>
        <v>View Full Record in Web of Science</v>
      </c>
    </row>
    <row r="252" spans="1:72" x14ac:dyDescent="0.15">
      <c r="A252" t="s">
        <v>72</v>
      </c>
      <c r="B252" t="s">
        <v>2120</v>
      </c>
      <c r="C252" t="s">
        <v>74</v>
      </c>
      <c r="D252" t="s">
        <v>74</v>
      </c>
      <c r="E252" t="s">
        <v>74</v>
      </c>
      <c r="F252" t="s">
        <v>2121</v>
      </c>
      <c r="G252" t="s">
        <v>74</v>
      </c>
      <c r="H252" t="s">
        <v>74</v>
      </c>
      <c r="I252" t="s">
        <v>2122</v>
      </c>
      <c r="J252" t="s">
        <v>77</v>
      </c>
      <c r="K252" t="s">
        <v>74</v>
      </c>
      <c r="L252" t="s">
        <v>74</v>
      </c>
      <c r="M252" t="s">
        <v>78</v>
      </c>
      <c r="N252" t="s">
        <v>52</v>
      </c>
      <c r="O252" t="s">
        <v>79</v>
      </c>
      <c r="P252" t="s">
        <v>80</v>
      </c>
      <c r="Q252" t="s">
        <v>81</v>
      </c>
      <c r="R252" t="s">
        <v>74</v>
      </c>
      <c r="S252" t="s">
        <v>82</v>
      </c>
      <c r="T252" t="s">
        <v>74</v>
      </c>
      <c r="U252" t="s">
        <v>2123</v>
      </c>
      <c r="V252" t="s">
        <v>74</v>
      </c>
      <c r="W252" t="s">
        <v>2124</v>
      </c>
      <c r="X252" t="s">
        <v>2116</v>
      </c>
      <c r="Y252" t="s">
        <v>74</v>
      </c>
      <c r="Z252" t="s">
        <v>2117</v>
      </c>
      <c r="AA252" t="s">
        <v>74</v>
      </c>
      <c r="AB252" t="s">
        <v>74</v>
      </c>
      <c r="AC252" t="s">
        <v>74</v>
      </c>
      <c r="AD252" t="s">
        <v>74</v>
      </c>
      <c r="AE252" t="s">
        <v>74</v>
      </c>
      <c r="AF252" t="s">
        <v>74</v>
      </c>
      <c r="AG252">
        <v>9</v>
      </c>
      <c r="AH252">
        <v>0</v>
      </c>
      <c r="AI252">
        <v>0</v>
      </c>
      <c r="AJ252">
        <v>0</v>
      </c>
      <c r="AK252">
        <v>0</v>
      </c>
      <c r="AL252" t="s">
        <v>149</v>
      </c>
      <c r="AM252" t="s">
        <v>150</v>
      </c>
      <c r="AN252" t="s">
        <v>151</v>
      </c>
      <c r="AO252" t="s">
        <v>91</v>
      </c>
      <c r="AP252" t="s">
        <v>74</v>
      </c>
      <c r="AQ252" t="s">
        <v>74</v>
      </c>
      <c r="AR252" t="s">
        <v>93</v>
      </c>
      <c r="AS252" t="s">
        <v>94</v>
      </c>
      <c r="AT252" t="s">
        <v>95</v>
      </c>
      <c r="AU252">
        <v>2008</v>
      </c>
      <c r="AV252">
        <v>43</v>
      </c>
      <c r="AW252">
        <v>7</v>
      </c>
      <c r="AX252" t="s">
        <v>74</v>
      </c>
      <c r="AY252" t="s">
        <v>96</v>
      </c>
      <c r="AZ252" t="s">
        <v>74</v>
      </c>
      <c r="BA252" t="s">
        <v>74</v>
      </c>
      <c r="BB252" t="s">
        <v>2118</v>
      </c>
      <c r="BC252" t="s">
        <v>2118</v>
      </c>
      <c r="BD252" t="s">
        <v>74</v>
      </c>
      <c r="BE252" t="s">
        <v>74</v>
      </c>
      <c r="BF252" t="s">
        <v>74</v>
      </c>
      <c r="BG252" t="s">
        <v>74</v>
      </c>
      <c r="BH252" t="s">
        <v>74</v>
      </c>
      <c r="BI252">
        <v>1</v>
      </c>
      <c r="BJ252" t="s">
        <v>98</v>
      </c>
      <c r="BK252" t="s">
        <v>99</v>
      </c>
      <c r="BL252" t="s">
        <v>98</v>
      </c>
      <c r="BM252" t="s">
        <v>100</v>
      </c>
      <c r="BN252" t="s">
        <v>74</v>
      </c>
      <c r="BO252" t="s">
        <v>74</v>
      </c>
      <c r="BP252" t="s">
        <v>74</v>
      </c>
      <c r="BQ252" t="s">
        <v>74</v>
      </c>
      <c r="BR252" t="s">
        <v>101</v>
      </c>
      <c r="BS252" t="s">
        <v>2125</v>
      </c>
      <c r="BT252" t="str">
        <f>HYPERLINK("https%3A%2F%2Fwww.webofscience.com%2Fwos%2Fwoscc%2Ffull-record%2FWOS:000257683100261","View Full Record in Web of Science")</f>
        <v>View Full Record in Web of Science</v>
      </c>
    </row>
    <row r="253" spans="1:72" x14ac:dyDescent="0.15">
      <c r="A253" t="s">
        <v>72</v>
      </c>
      <c r="B253" t="s">
        <v>2126</v>
      </c>
      <c r="C253" t="s">
        <v>74</v>
      </c>
      <c r="D253" t="s">
        <v>74</v>
      </c>
      <c r="E253" t="s">
        <v>74</v>
      </c>
      <c r="F253" t="s">
        <v>2127</v>
      </c>
      <c r="G253" t="s">
        <v>74</v>
      </c>
      <c r="H253" t="s">
        <v>74</v>
      </c>
      <c r="I253" t="s">
        <v>2128</v>
      </c>
      <c r="J253" t="s">
        <v>77</v>
      </c>
      <c r="K253" t="s">
        <v>74</v>
      </c>
      <c r="L253" t="s">
        <v>74</v>
      </c>
      <c r="M253" t="s">
        <v>78</v>
      </c>
      <c r="N253" t="s">
        <v>52</v>
      </c>
      <c r="O253" t="s">
        <v>79</v>
      </c>
      <c r="P253" t="s">
        <v>80</v>
      </c>
      <c r="Q253" t="s">
        <v>81</v>
      </c>
      <c r="R253" t="s">
        <v>74</v>
      </c>
      <c r="S253" t="s">
        <v>82</v>
      </c>
      <c r="T253" t="s">
        <v>74</v>
      </c>
      <c r="U253" t="s">
        <v>74</v>
      </c>
      <c r="V253" t="s">
        <v>74</v>
      </c>
      <c r="W253" t="s">
        <v>2129</v>
      </c>
      <c r="X253" t="s">
        <v>2130</v>
      </c>
      <c r="Y253" t="s">
        <v>74</v>
      </c>
      <c r="Z253" t="s">
        <v>2131</v>
      </c>
      <c r="AA253" t="s">
        <v>2132</v>
      </c>
      <c r="AB253" t="s">
        <v>74</v>
      </c>
      <c r="AC253" t="s">
        <v>74</v>
      </c>
      <c r="AD253" t="s">
        <v>74</v>
      </c>
      <c r="AE253" t="s">
        <v>74</v>
      </c>
      <c r="AF253" t="s">
        <v>74</v>
      </c>
      <c r="AG253">
        <v>2</v>
      </c>
      <c r="AH253">
        <v>0</v>
      </c>
      <c r="AI253">
        <v>0</v>
      </c>
      <c r="AJ253">
        <v>0</v>
      </c>
      <c r="AK253">
        <v>0</v>
      </c>
      <c r="AL253" t="s">
        <v>149</v>
      </c>
      <c r="AM253" t="s">
        <v>150</v>
      </c>
      <c r="AN253" t="s">
        <v>151</v>
      </c>
      <c r="AO253" t="s">
        <v>91</v>
      </c>
      <c r="AP253" t="s">
        <v>74</v>
      </c>
      <c r="AQ253" t="s">
        <v>74</v>
      </c>
      <c r="AR253" t="s">
        <v>93</v>
      </c>
      <c r="AS253" t="s">
        <v>94</v>
      </c>
      <c r="AT253" t="s">
        <v>95</v>
      </c>
      <c r="AU253">
        <v>2008</v>
      </c>
      <c r="AV253">
        <v>43</v>
      </c>
      <c r="AW253">
        <v>7</v>
      </c>
      <c r="AX253" t="s">
        <v>74</v>
      </c>
      <c r="AY253" t="s">
        <v>96</v>
      </c>
      <c r="AZ253" t="s">
        <v>74</v>
      </c>
      <c r="BA253" t="s">
        <v>74</v>
      </c>
      <c r="BB253" t="s">
        <v>2133</v>
      </c>
      <c r="BC253" t="s">
        <v>2133</v>
      </c>
      <c r="BD253" t="s">
        <v>74</v>
      </c>
      <c r="BE253" t="s">
        <v>74</v>
      </c>
      <c r="BF253" t="s">
        <v>74</v>
      </c>
      <c r="BG253" t="s">
        <v>74</v>
      </c>
      <c r="BH253" t="s">
        <v>74</v>
      </c>
      <c r="BI253">
        <v>1</v>
      </c>
      <c r="BJ253" t="s">
        <v>98</v>
      </c>
      <c r="BK253" t="s">
        <v>99</v>
      </c>
      <c r="BL253" t="s">
        <v>98</v>
      </c>
      <c r="BM253" t="s">
        <v>100</v>
      </c>
      <c r="BN253" t="s">
        <v>74</v>
      </c>
      <c r="BO253" t="s">
        <v>74</v>
      </c>
      <c r="BP253" t="s">
        <v>74</v>
      </c>
      <c r="BQ253" t="s">
        <v>74</v>
      </c>
      <c r="BR253" t="s">
        <v>101</v>
      </c>
      <c r="BS253" t="s">
        <v>2134</v>
      </c>
      <c r="BT253" t="str">
        <f>HYPERLINK("https%3A%2F%2Fwww.webofscience.com%2Fwos%2Fwoscc%2Ffull-record%2FWOS:000257683100263","View Full Record in Web of Science")</f>
        <v>View Full Record in Web of Science</v>
      </c>
    </row>
    <row r="254" spans="1:72" x14ac:dyDescent="0.15">
      <c r="A254" t="s">
        <v>72</v>
      </c>
      <c r="B254" t="s">
        <v>2135</v>
      </c>
      <c r="C254" t="s">
        <v>74</v>
      </c>
      <c r="D254" t="s">
        <v>74</v>
      </c>
      <c r="E254" t="s">
        <v>74</v>
      </c>
      <c r="F254" t="s">
        <v>2136</v>
      </c>
      <c r="G254" t="s">
        <v>74</v>
      </c>
      <c r="H254" t="s">
        <v>74</v>
      </c>
      <c r="I254" t="s">
        <v>2137</v>
      </c>
      <c r="J254" t="s">
        <v>77</v>
      </c>
      <c r="K254" t="s">
        <v>74</v>
      </c>
      <c r="L254" t="s">
        <v>74</v>
      </c>
      <c r="M254" t="s">
        <v>78</v>
      </c>
      <c r="N254" t="s">
        <v>52</v>
      </c>
      <c r="O254" t="s">
        <v>79</v>
      </c>
      <c r="P254" t="s">
        <v>80</v>
      </c>
      <c r="Q254" t="s">
        <v>81</v>
      </c>
      <c r="R254" t="s">
        <v>74</v>
      </c>
      <c r="S254" t="s">
        <v>82</v>
      </c>
      <c r="T254" t="s">
        <v>74</v>
      </c>
      <c r="U254" t="s">
        <v>2138</v>
      </c>
      <c r="V254" t="s">
        <v>74</v>
      </c>
      <c r="W254" t="s">
        <v>2139</v>
      </c>
      <c r="X254" t="s">
        <v>2140</v>
      </c>
      <c r="Y254" t="s">
        <v>74</v>
      </c>
      <c r="Z254" t="s">
        <v>2141</v>
      </c>
      <c r="AA254" t="s">
        <v>74</v>
      </c>
      <c r="AB254" t="s">
        <v>74</v>
      </c>
      <c r="AC254" t="s">
        <v>74</v>
      </c>
      <c r="AD254" t="s">
        <v>74</v>
      </c>
      <c r="AE254" t="s">
        <v>74</v>
      </c>
      <c r="AF254" t="s">
        <v>74</v>
      </c>
      <c r="AG254">
        <v>10</v>
      </c>
      <c r="AH254">
        <v>0</v>
      </c>
      <c r="AI254">
        <v>0</v>
      </c>
      <c r="AJ254">
        <v>0</v>
      </c>
      <c r="AK254">
        <v>1</v>
      </c>
      <c r="AL254" t="s">
        <v>88</v>
      </c>
      <c r="AM254" t="s">
        <v>89</v>
      </c>
      <c r="AN254" t="s">
        <v>90</v>
      </c>
      <c r="AO254" t="s">
        <v>91</v>
      </c>
      <c r="AP254" t="s">
        <v>92</v>
      </c>
      <c r="AQ254" t="s">
        <v>74</v>
      </c>
      <c r="AR254" t="s">
        <v>93</v>
      </c>
      <c r="AS254" t="s">
        <v>94</v>
      </c>
      <c r="AT254" t="s">
        <v>95</v>
      </c>
      <c r="AU254">
        <v>2008</v>
      </c>
      <c r="AV254">
        <v>43</v>
      </c>
      <c r="AW254">
        <v>7</v>
      </c>
      <c r="AX254" t="s">
        <v>74</v>
      </c>
      <c r="AY254" t="s">
        <v>96</v>
      </c>
      <c r="AZ254" t="s">
        <v>74</v>
      </c>
      <c r="BA254" t="s">
        <v>74</v>
      </c>
      <c r="BB254" t="s">
        <v>2133</v>
      </c>
      <c r="BC254" t="s">
        <v>2133</v>
      </c>
      <c r="BD254" t="s">
        <v>74</v>
      </c>
      <c r="BE254" t="s">
        <v>74</v>
      </c>
      <c r="BF254" t="s">
        <v>74</v>
      </c>
      <c r="BG254" t="s">
        <v>74</v>
      </c>
      <c r="BH254" t="s">
        <v>74</v>
      </c>
      <c r="BI254">
        <v>1</v>
      </c>
      <c r="BJ254" t="s">
        <v>98</v>
      </c>
      <c r="BK254" t="s">
        <v>99</v>
      </c>
      <c r="BL254" t="s">
        <v>98</v>
      </c>
      <c r="BM254" t="s">
        <v>100</v>
      </c>
      <c r="BN254" t="s">
        <v>74</v>
      </c>
      <c r="BO254" t="s">
        <v>74</v>
      </c>
      <c r="BP254" t="s">
        <v>74</v>
      </c>
      <c r="BQ254" t="s">
        <v>74</v>
      </c>
      <c r="BR254" t="s">
        <v>101</v>
      </c>
      <c r="BS254" t="s">
        <v>2142</v>
      </c>
      <c r="BT254" t="str">
        <f>HYPERLINK("https%3A%2F%2Fwww.webofscience.com%2Fwos%2Fwoscc%2Ffull-record%2FWOS:000257683100264","View Full Record in Web of Science")</f>
        <v>View Full Record in Web of Science</v>
      </c>
    </row>
    <row r="255" spans="1:72" x14ac:dyDescent="0.15">
      <c r="A255" t="s">
        <v>72</v>
      </c>
      <c r="B255" t="s">
        <v>2143</v>
      </c>
      <c r="C255" t="s">
        <v>74</v>
      </c>
      <c r="D255" t="s">
        <v>74</v>
      </c>
      <c r="E255" t="s">
        <v>74</v>
      </c>
      <c r="F255" t="s">
        <v>2144</v>
      </c>
      <c r="G255" t="s">
        <v>74</v>
      </c>
      <c r="H255" t="s">
        <v>74</v>
      </c>
      <c r="I255" t="s">
        <v>2145</v>
      </c>
      <c r="J255" t="s">
        <v>77</v>
      </c>
      <c r="K255" t="s">
        <v>74</v>
      </c>
      <c r="L255" t="s">
        <v>74</v>
      </c>
      <c r="M255" t="s">
        <v>78</v>
      </c>
      <c r="N255" t="s">
        <v>52</v>
      </c>
      <c r="O255" t="s">
        <v>79</v>
      </c>
      <c r="P255" t="s">
        <v>80</v>
      </c>
      <c r="Q255" t="s">
        <v>81</v>
      </c>
      <c r="R255" t="s">
        <v>74</v>
      </c>
      <c r="S255" t="s">
        <v>82</v>
      </c>
      <c r="T255" t="s">
        <v>74</v>
      </c>
      <c r="U255" t="s">
        <v>2146</v>
      </c>
      <c r="V255" t="s">
        <v>74</v>
      </c>
      <c r="W255" t="s">
        <v>2147</v>
      </c>
      <c r="X255" t="s">
        <v>2148</v>
      </c>
      <c r="Y255" t="s">
        <v>74</v>
      </c>
      <c r="Z255" t="s">
        <v>2149</v>
      </c>
      <c r="AA255" t="s">
        <v>2150</v>
      </c>
      <c r="AB255" t="s">
        <v>74</v>
      </c>
      <c r="AC255" t="s">
        <v>74</v>
      </c>
      <c r="AD255" t="s">
        <v>74</v>
      </c>
      <c r="AE255" t="s">
        <v>74</v>
      </c>
      <c r="AF255" t="s">
        <v>74</v>
      </c>
      <c r="AG255">
        <v>8</v>
      </c>
      <c r="AH255">
        <v>0</v>
      </c>
      <c r="AI255">
        <v>0</v>
      </c>
      <c r="AJ255">
        <v>0</v>
      </c>
      <c r="AK255">
        <v>0</v>
      </c>
      <c r="AL255" t="s">
        <v>149</v>
      </c>
      <c r="AM255" t="s">
        <v>150</v>
      </c>
      <c r="AN255" t="s">
        <v>151</v>
      </c>
      <c r="AO255" t="s">
        <v>91</v>
      </c>
      <c r="AP255" t="s">
        <v>74</v>
      </c>
      <c r="AQ255" t="s">
        <v>74</v>
      </c>
      <c r="AR255" t="s">
        <v>93</v>
      </c>
      <c r="AS255" t="s">
        <v>94</v>
      </c>
      <c r="AT255" t="s">
        <v>95</v>
      </c>
      <c r="AU255">
        <v>2008</v>
      </c>
      <c r="AV255">
        <v>43</v>
      </c>
      <c r="AW255">
        <v>7</v>
      </c>
      <c r="AX255" t="s">
        <v>74</v>
      </c>
      <c r="AY255" t="s">
        <v>96</v>
      </c>
      <c r="AZ255" t="s">
        <v>74</v>
      </c>
      <c r="BA255" t="s">
        <v>74</v>
      </c>
      <c r="BB255" t="s">
        <v>2151</v>
      </c>
      <c r="BC255" t="s">
        <v>2151</v>
      </c>
      <c r="BD255" t="s">
        <v>74</v>
      </c>
      <c r="BE255" t="s">
        <v>74</v>
      </c>
      <c r="BF255" t="s">
        <v>74</v>
      </c>
      <c r="BG255" t="s">
        <v>74</v>
      </c>
      <c r="BH255" t="s">
        <v>74</v>
      </c>
      <c r="BI255">
        <v>1</v>
      </c>
      <c r="BJ255" t="s">
        <v>98</v>
      </c>
      <c r="BK255" t="s">
        <v>99</v>
      </c>
      <c r="BL255" t="s">
        <v>98</v>
      </c>
      <c r="BM255" t="s">
        <v>100</v>
      </c>
      <c r="BN255" t="s">
        <v>74</v>
      </c>
      <c r="BO255" t="s">
        <v>74</v>
      </c>
      <c r="BP255" t="s">
        <v>74</v>
      </c>
      <c r="BQ255" t="s">
        <v>74</v>
      </c>
      <c r="BR255" t="s">
        <v>101</v>
      </c>
      <c r="BS255" t="s">
        <v>2152</v>
      </c>
      <c r="BT255" t="str">
        <f>HYPERLINK("https%3A%2F%2Fwww.webofscience.com%2Fwos%2Fwoscc%2Ffull-record%2FWOS:000257683100266","View Full Record in Web of Science")</f>
        <v>View Full Record in Web of Science</v>
      </c>
    </row>
    <row r="256" spans="1:72" x14ac:dyDescent="0.15">
      <c r="A256" t="s">
        <v>72</v>
      </c>
      <c r="B256" t="s">
        <v>2153</v>
      </c>
      <c r="C256" t="s">
        <v>74</v>
      </c>
      <c r="D256" t="s">
        <v>74</v>
      </c>
      <c r="E256" t="s">
        <v>74</v>
      </c>
      <c r="F256" t="s">
        <v>2154</v>
      </c>
      <c r="G256" t="s">
        <v>74</v>
      </c>
      <c r="H256" t="s">
        <v>74</v>
      </c>
      <c r="I256" t="s">
        <v>2155</v>
      </c>
      <c r="J256" t="s">
        <v>77</v>
      </c>
      <c r="K256" t="s">
        <v>74</v>
      </c>
      <c r="L256" t="s">
        <v>74</v>
      </c>
      <c r="M256" t="s">
        <v>78</v>
      </c>
      <c r="N256" t="s">
        <v>52</v>
      </c>
      <c r="O256" t="s">
        <v>79</v>
      </c>
      <c r="P256" t="s">
        <v>80</v>
      </c>
      <c r="Q256" t="s">
        <v>81</v>
      </c>
      <c r="R256" t="s">
        <v>74</v>
      </c>
      <c r="S256" t="s">
        <v>82</v>
      </c>
      <c r="T256" t="s">
        <v>74</v>
      </c>
      <c r="U256" t="s">
        <v>2156</v>
      </c>
      <c r="V256" t="s">
        <v>74</v>
      </c>
      <c r="W256" t="s">
        <v>2157</v>
      </c>
      <c r="X256" t="s">
        <v>2158</v>
      </c>
      <c r="Y256" t="s">
        <v>74</v>
      </c>
      <c r="Z256" t="s">
        <v>2149</v>
      </c>
      <c r="AA256" t="s">
        <v>74</v>
      </c>
      <c r="AB256" t="s">
        <v>74</v>
      </c>
      <c r="AC256" t="s">
        <v>74</v>
      </c>
      <c r="AD256" t="s">
        <v>74</v>
      </c>
      <c r="AE256" t="s">
        <v>74</v>
      </c>
      <c r="AF256" t="s">
        <v>74</v>
      </c>
      <c r="AG256">
        <v>3</v>
      </c>
      <c r="AH256">
        <v>0</v>
      </c>
      <c r="AI256">
        <v>0</v>
      </c>
      <c r="AJ256">
        <v>0</v>
      </c>
      <c r="AK256">
        <v>0</v>
      </c>
      <c r="AL256" t="s">
        <v>149</v>
      </c>
      <c r="AM256" t="s">
        <v>150</v>
      </c>
      <c r="AN256" t="s">
        <v>151</v>
      </c>
      <c r="AO256" t="s">
        <v>91</v>
      </c>
      <c r="AP256" t="s">
        <v>74</v>
      </c>
      <c r="AQ256" t="s">
        <v>74</v>
      </c>
      <c r="AR256" t="s">
        <v>93</v>
      </c>
      <c r="AS256" t="s">
        <v>94</v>
      </c>
      <c r="AT256" t="s">
        <v>95</v>
      </c>
      <c r="AU256">
        <v>2008</v>
      </c>
      <c r="AV256">
        <v>43</v>
      </c>
      <c r="AW256">
        <v>7</v>
      </c>
      <c r="AX256" t="s">
        <v>74</v>
      </c>
      <c r="AY256" t="s">
        <v>96</v>
      </c>
      <c r="AZ256" t="s">
        <v>74</v>
      </c>
      <c r="BA256" t="s">
        <v>74</v>
      </c>
      <c r="BB256" t="s">
        <v>2151</v>
      </c>
      <c r="BC256" t="s">
        <v>2151</v>
      </c>
      <c r="BD256" t="s">
        <v>74</v>
      </c>
      <c r="BE256" t="s">
        <v>74</v>
      </c>
      <c r="BF256" t="s">
        <v>74</v>
      </c>
      <c r="BG256" t="s">
        <v>74</v>
      </c>
      <c r="BH256" t="s">
        <v>74</v>
      </c>
      <c r="BI256">
        <v>1</v>
      </c>
      <c r="BJ256" t="s">
        <v>98</v>
      </c>
      <c r="BK256" t="s">
        <v>99</v>
      </c>
      <c r="BL256" t="s">
        <v>98</v>
      </c>
      <c r="BM256" t="s">
        <v>100</v>
      </c>
      <c r="BN256" t="s">
        <v>74</v>
      </c>
      <c r="BO256" t="s">
        <v>74</v>
      </c>
      <c r="BP256" t="s">
        <v>74</v>
      </c>
      <c r="BQ256" t="s">
        <v>74</v>
      </c>
      <c r="BR256" t="s">
        <v>101</v>
      </c>
      <c r="BS256" t="s">
        <v>2159</v>
      </c>
      <c r="BT256" t="str">
        <f>HYPERLINK("https%3A%2F%2Fwww.webofscience.com%2Fwos%2Fwoscc%2Ffull-record%2FWOS:000257683100265","View Full Record in Web of Science")</f>
        <v>View Full Record in Web of Science</v>
      </c>
    </row>
    <row r="257" spans="1:72" x14ac:dyDescent="0.15">
      <c r="A257" t="s">
        <v>72</v>
      </c>
      <c r="B257" t="s">
        <v>2160</v>
      </c>
      <c r="C257" t="s">
        <v>74</v>
      </c>
      <c r="D257" t="s">
        <v>74</v>
      </c>
      <c r="E257" t="s">
        <v>74</v>
      </c>
      <c r="F257" t="s">
        <v>2161</v>
      </c>
      <c r="G257" t="s">
        <v>74</v>
      </c>
      <c r="H257" t="s">
        <v>2162</v>
      </c>
      <c r="I257" t="s">
        <v>2163</v>
      </c>
      <c r="J257" t="s">
        <v>77</v>
      </c>
      <c r="K257" t="s">
        <v>74</v>
      </c>
      <c r="L257" t="s">
        <v>74</v>
      </c>
      <c r="M257" t="s">
        <v>78</v>
      </c>
      <c r="N257" t="s">
        <v>52</v>
      </c>
      <c r="O257" t="s">
        <v>79</v>
      </c>
      <c r="P257" t="s">
        <v>80</v>
      </c>
      <c r="Q257" t="s">
        <v>81</v>
      </c>
      <c r="R257" t="s">
        <v>74</v>
      </c>
      <c r="S257" t="s">
        <v>82</v>
      </c>
      <c r="T257" t="s">
        <v>74</v>
      </c>
      <c r="U257" t="s">
        <v>74</v>
      </c>
      <c r="V257" t="s">
        <v>74</v>
      </c>
      <c r="W257" t="s">
        <v>2164</v>
      </c>
      <c r="X257" t="s">
        <v>1131</v>
      </c>
      <c r="Y257" t="s">
        <v>74</v>
      </c>
      <c r="Z257" t="s">
        <v>2165</v>
      </c>
      <c r="AA257" t="s">
        <v>74</v>
      </c>
      <c r="AB257" t="s">
        <v>74</v>
      </c>
      <c r="AC257" t="s">
        <v>74</v>
      </c>
      <c r="AD257" t="s">
        <v>74</v>
      </c>
      <c r="AE257" t="s">
        <v>74</v>
      </c>
      <c r="AF257" t="s">
        <v>74</v>
      </c>
      <c r="AG257">
        <v>3</v>
      </c>
      <c r="AH257">
        <v>0</v>
      </c>
      <c r="AI257">
        <v>0</v>
      </c>
      <c r="AJ257">
        <v>0</v>
      </c>
      <c r="AK257">
        <v>0</v>
      </c>
      <c r="AL257" t="s">
        <v>88</v>
      </c>
      <c r="AM257" t="s">
        <v>89</v>
      </c>
      <c r="AN257" t="s">
        <v>90</v>
      </c>
      <c r="AO257" t="s">
        <v>91</v>
      </c>
      <c r="AP257" t="s">
        <v>92</v>
      </c>
      <c r="AQ257" t="s">
        <v>74</v>
      </c>
      <c r="AR257" t="s">
        <v>93</v>
      </c>
      <c r="AS257" t="s">
        <v>94</v>
      </c>
      <c r="AT257" t="s">
        <v>95</v>
      </c>
      <c r="AU257">
        <v>2008</v>
      </c>
      <c r="AV257">
        <v>43</v>
      </c>
      <c r="AW257">
        <v>7</v>
      </c>
      <c r="AX257" t="s">
        <v>74</v>
      </c>
      <c r="AY257" t="s">
        <v>96</v>
      </c>
      <c r="AZ257" t="s">
        <v>74</v>
      </c>
      <c r="BA257" t="s">
        <v>74</v>
      </c>
      <c r="BB257" t="s">
        <v>2166</v>
      </c>
      <c r="BC257" t="s">
        <v>2166</v>
      </c>
      <c r="BD257" t="s">
        <v>74</v>
      </c>
      <c r="BE257" t="s">
        <v>74</v>
      </c>
      <c r="BF257" t="s">
        <v>74</v>
      </c>
      <c r="BG257" t="s">
        <v>74</v>
      </c>
      <c r="BH257" t="s">
        <v>74</v>
      </c>
      <c r="BI257">
        <v>1</v>
      </c>
      <c r="BJ257" t="s">
        <v>98</v>
      </c>
      <c r="BK257" t="s">
        <v>99</v>
      </c>
      <c r="BL257" t="s">
        <v>98</v>
      </c>
      <c r="BM257" t="s">
        <v>100</v>
      </c>
      <c r="BN257" t="s">
        <v>74</v>
      </c>
      <c r="BO257" t="s">
        <v>74</v>
      </c>
      <c r="BP257" t="s">
        <v>74</v>
      </c>
      <c r="BQ257" t="s">
        <v>74</v>
      </c>
      <c r="BR257" t="s">
        <v>101</v>
      </c>
      <c r="BS257" t="s">
        <v>2167</v>
      </c>
      <c r="BT257" t="str">
        <f>HYPERLINK("https%3A%2F%2Fwww.webofscience.com%2Fwos%2Fwoscc%2Ffull-record%2FWOS:000257683100267","View Full Record in Web of Science")</f>
        <v>View Full Record in Web of Science</v>
      </c>
    </row>
    <row r="258" spans="1:72" x14ac:dyDescent="0.15">
      <c r="A258" t="s">
        <v>72</v>
      </c>
      <c r="B258" t="s">
        <v>2168</v>
      </c>
      <c r="C258" t="s">
        <v>74</v>
      </c>
      <c r="D258" t="s">
        <v>74</v>
      </c>
      <c r="E258" t="s">
        <v>74</v>
      </c>
      <c r="F258" t="s">
        <v>2169</v>
      </c>
      <c r="G258" t="s">
        <v>74</v>
      </c>
      <c r="H258" t="s">
        <v>74</v>
      </c>
      <c r="I258" t="s">
        <v>2170</v>
      </c>
      <c r="J258" t="s">
        <v>77</v>
      </c>
      <c r="K258" t="s">
        <v>74</v>
      </c>
      <c r="L258" t="s">
        <v>74</v>
      </c>
      <c r="M258" t="s">
        <v>78</v>
      </c>
      <c r="N258" t="s">
        <v>52</v>
      </c>
      <c r="O258" t="s">
        <v>79</v>
      </c>
      <c r="P258" t="s">
        <v>80</v>
      </c>
      <c r="Q258" t="s">
        <v>81</v>
      </c>
      <c r="R258" t="s">
        <v>74</v>
      </c>
      <c r="S258" t="s">
        <v>82</v>
      </c>
      <c r="T258" t="s">
        <v>74</v>
      </c>
      <c r="U258" t="s">
        <v>74</v>
      </c>
      <c r="V258" t="s">
        <v>74</v>
      </c>
      <c r="W258" t="s">
        <v>2171</v>
      </c>
      <c r="X258" t="s">
        <v>403</v>
      </c>
      <c r="Y258" t="s">
        <v>74</v>
      </c>
      <c r="Z258" t="s">
        <v>74</v>
      </c>
      <c r="AA258" t="s">
        <v>74</v>
      </c>
      <c r="AB258" t="s">
        <v>74</v>
      </c>
      <c r="AC258" t="s">
        <v>74</v>
      </c>
      <c r="AD258" t="s">
        <v>74</v>
      </c>
      <c r="AE258" t="s">
        <v>74</v>
      </c>
      <c r="AF258" t="s">
        <v>74</v>
      </c>
      <c r="AG258">
        <v>5</v>
      </c>
      <c r="AH258">
        <v>1</v>
      </c>
      <c r="AI258">
        <v>1</v>
      </c>
      <c r="AJ258">
        <v>0</v>
      </c>
      <c r="AK258">
        <v>1</v>
      </c>
      <c r="AL258" t="s">
        <v>109</v>
      </c>
      <c r="AM258" t="s">
        <v>110</v>
      </c>
      <c r="AN258" t="s">
        <v>111</v>
      </c>
      <c r="AO258" t="s">
        <v>91</v>
      </c>
      <c r="AP258" t="s">
        <v>74</v>
      </c>
      <c r="AQ258" t="s">
        <v>74</v>
      </c>
      <c r="AR258" t="s">
        <v>93</v>
      </c>
      <c r="AS258" t="s">
        <v>94</v>
      </c>
      <c r="AT258" t="s">
        <v>95</v>
      </c>
      <c r="AU258">
        <v>2008</v>
      </c>
      <c r="AV258">
        <v>43</v>
      </c>
      <c r="AW258">
        <v>7</v>
      </c>
      <c r="AX258" t="s">
        <v>74</v>
      </c>
      <c r="AY258" t="s">
        <v>96</v>
      </c>
      <c r="AZ258" t="s">
        <v>74</v>
      </c>
      <c r="BA258" t="s">
        <v>74</v>
      </c>
      <c r="BB258" t="s">
        <v>2166</v>
      </c>
      <c r="BC258" t="s">
        <v>2166</v>
      </c>
      <c r="BD258" t="s">
        <v>74</v>
      </c>
      <c r="BE258" t="s">
        <v>74</v>
      </c>
      <c r="BF258" t="s">
        <v>74</v>
      </c>
      <c r="BG258" t="s">
        <v>74</v>
      </c>
      <c r="BH258" t="s">
        <v>74</v>
      </c>
      <c r="BI258">
        <v>1</v>
      </c>
      <c r="BJ258" t="s">
        <v>98</v>
      </c>
      <c r="BK258" t="s">
        <v>113</v>
      </c>
      <c r="BL258" t="s">
        <v>98</v>
      </c>
      <c r="BM258" t="s">
        <v>100</v>
      </c>
      <c r="BN258" t="s">
        <v>74</v>
      </c>
      <c r="BO258" t="s">
        <v>74</v>
      </c>
      <c r="BP258" t="s">
        <v>74</v>
      </c>
      <c r="BQ258" t="s">
        <v>74</v>
      </c>
      <c r="BR258" t="s">
        <v>101</v>
      </c>
      <c r="BS258" t="s">
        <v>2172</v>
      </c>
      <c r="BT258" t="str">
        <f>HYPERLINK("https%3A%2F%2Fwww.webofscience.com%2Fwos%2Fwoscc%2Ffull-record%2FWOS:000257683100268","View Full Record in Web of Science")</f>
        <v>View Full Record in Web of Science</v>
      </c>
    </row>
    <row r="259" spans="1:72" x14ac:dyDescent="0.15">
      <c r="A259" t="s">
        <v>72</v>
      </c>
      <c r="B259" t="s">
        <v>2173</v>
      </c>
      <c r="C259" t="s">
        <v>74</v>
      </c>
      <c r="D259" t="s">
        <v>74</v>
      </c>
      <c r="E259" t="s">
        <v>74</v>
      </c>
      <c r="F259" t="s">
        <v>2174</v>
      </c>
      <c r="G259" t="s">
        <v>74</v>
      </c>
      <c r="H259" t="s">
        <v>74</v>
      </c>
      <c r="I259" t="s">
        <v>2175</v>
      </c>
      <c r="J259" t="s">
        <v>77</v>
      </c>
      <c r="K259" t="s">
        <v>74</v>
      </c>
      <c r="L259" t="s">
        <v>74</v>
      </c>
      <c r="M259" t="s">
        <v>78</v>
      </c>
      <c r="N259" t="s">
        <v>52</v>
      </c>
      <c r="O259" t="s">
        <v>79</v>
      </c>
      <c r="P259" t="s">
        <v>80</v>
      </c>
      <c r="Q259" t="s">
        <v>81</v>
      </c>
      <c r="R259" t="s">
        <v>74</v>
      </c>
      <c r="S259" t="s">
        <v>82</v>
      </c>
      <c r="T259" t="s">
        <v>74</v>
      </c>
      <c r="U259" t="s">
        <v>74</v>
      </c>
      <c r="V259" t="s">
        <v>74</v>
      </c>
      <c r="W259" t="s">
        <v>2176</v>
      </c>
      <c r="X259" t="s">
        <v>2177</v>
      </c>
      <c r="Y259" t="s">
        <v>74</v>
      </c>
      <c r="Z259" t="s">
        <v>2178</v>
      </c>
      <c r="AA259" t="s">
        <v>74</v>
      </c>
      <c r="AB259" t="s">
        <v>74</v>
      </c>
      <c r="AC259" t="s">
        <v>74</v>
      </c>
      <c r="AD259" t="s">
        <v>74</v>
      </c>
      <c r="AE259" t="s">
        <v>74</v>
      </c>
      <c r="AF259" t="s">
        <v>74</v>
      </c>
      <c r="AG259">
        <v>8</v>
      </c>
      <c r="AH259">
        <v>0</v>
      </c>
      <c r="AI259">
        <v>0</v>
      </c>
      <c r="AJ259">
        <v>0</v>
      </c>
      <c r="AK259">
        <v>5</v>
      </c>
      <c r="AL259" t="s">
        <v>88</v>
      </c>
      <c r="AM259" t="s">
        <v>89</v>
      </c>
      <c r="AN259" t="s">
        <v>90</v>
      </c>
      <c r="AO259" t="s">
        <v>91</v>
      </c>
      <c r="AP259" t="s">
        <v>92</v>
      </c>
      <c r="AQ259" t="s">
        <v>74</v>
      </c>
      <c r="AR259" t="s">
        <v>93</v>
      </c>
      <c r="AS259" t="s">
        <v>94</v>
      </c>
      <c r="AT259" t="s">
        <v>95</v>
      </c>
      <c r="AU259">
        <v>2008</v>
      </c>
      <c r="AV259">
        <v>43</v>
      </c>
      <c r="AW259">
        <v>7</v>
      </c>
      <c r="AX259" t="s">
        <v>74</v>
      </c>
      <c r="AY259" t="s">
        <v>96</v>
      </c>
      <c r="AZ259" t="s">
        <v>74</v>
      </c>
      <c r="BA259" t="s">
        <v>74</v>
      </c>
      <c r="BB259" t="s">
        <v>2179</v>
      </c>
      <c r="BC259" t="s">
        <v>2179</v>
      </c>
      <c r="BD259" t="s">
        <v>74</v>
      </c>
      <c r="BE259" t="s">
        <v>74</v>
      </c>
      <c r="BF259" t="s">
        <v>74</v>
      </c>
      <c r="BG259" t="s">
        <v>74</v>
      </c>
      <c r="BH259" t="s">
        <v>74</v>
      </c>
      <c r="BI259">
        <v>1</v>
      </c>
      <c r="BJ259" t="s">
        <v>98</v>
      </c>
      <c r="BK259" t="s">
        <v>99</v>
      </c>
      <c r="BL259" t="s">
        <v>98</v>
      </c>
      <c r="BM259" t="s">
        <v>100</v>
      </c>
      <c r="BN259" t="s">
        <v>74</v>
      </c>
      <c r="BO259" t="s">
        <v>74</v>
      </c>
      <c r="BP259" t="s">
        <v>74</v>
      </c>
      <c r="BQ259" t="s">
        <v>74</v>
      </c>
      <c r="BR259" t="s">
        <v>101</v>
      </c>
      <c r="BS259" t="s">
        <v>2180</v>
      </c>
      <c r="BT259" t="str">
        <f>HYPERLINK("https%3A%2F%2Fwww.webofscience.com%2Fwos%2Fwoscc%2Ffull-record%2FWOS:000257683100270","View Full Record in Web of Science")</f>
        <v>View Full Record in Web of Science</v>
      </c>
    </row>
    <row r="260" spans="1:72" x14ac:dyDescent="0.15">
      <c r="A260" t="s">
        <v>72</v>
      </c>
      <c r="B260" t="s">
        <v>2181</v>
      </c>
      <c r="C260" t="s">
        <v>74</v>
      </c>
      <c r="D260" t="s">
        <v>74</v>
      </c>
      <c r="E260" t="s">
        <v>74</v>
      </c>
      <c r="F260" t="s">
        <v>2182</v>
      </c>
      <c r="G260" t="s">
        <v>74</v>
      </c>
      <c r="H260" t="s">
        <v>74</v>
      </c>
      <c r="I260" t="s">
        <v>2183</v>
      </c>
      <c r="J260" t="s">
        <v>77</v>
      </c>
      <c r="K260" t="s">
        <v>74</v>
      </c>
      <c r="L260" t="s">
        <v>74</v>
      </c>
      <c r="M260" t="s">
        <v>78</v>
      </c>
      <c r="N260" t="s">
        <v>52</v>
      </c>
      <c r="O260" t="s">
        <v>79</v>
      </c>
      <c r="P260" t="s">
        <v>80</v>
      </c>
      <c r="Q260" t="s">
        <v>81</v>
      </c>
      <c r="R260" t="s">
        <v>74</v>
      </c>
      <c r="S260" t="s">
        <v>82</v>
      </c>
      <c r="T260" t="s">
        <v>74</v>
      </c>
      <c r="U260" t="s">
        <v>74</v>
      </c>
      <c r="V260" t="s">
        <v>74</v>
      </c>
      <c r="W260" t="s">
        <v>2184</v>
      </c>
      <c r="X260" t="s">
        <v>2177</v>
      </c>
      <c r="Y260" t="s">
        <v>74</v>
      </c>
      <c r="Z260" t="s">
        <v>2185</v>
      </c>
      <c r="AA260" t="s">
        <v>74</v>
      </c>
      <c r="AB260" t="s">
        <v>74</v>
      </c>
      <c r="AC260" t="s">
        <v>74</v>
      </c>
      <c r="AD260" t="s">
        <v>74</v>
      </c>
      <c r="AE260" t="s">
        <v>74</v>
      </c>
      <c r="AF260" t="s">
        <v>74</v>
      </c>
      <c r="AG260">
        <v>0</v>
      </c>
      <c r="AH260">
        <v>0</v>
      </c>
      <c r="AI260">
        <v>0</v>
      </c>
      <c r="AJ260">
        <v>0</v>
      </c>
      <c r="AK260">
        <v>0</v>
      </c>
      <c r="AL260" t="s">
        <v>88</v>
      </c>
      <c r="AM260" t="s">
        <v>89</v>
      </c>
      <c r="AN260" t="s">
        <v>90</v>
      </c>
      <c r="AO260" t="s">
        <v>91</v>
      </c>
      <c r="AP260" t="s">
        <v>92</v>
      </c>
      <c r="AQ260" t="s">
        <v>74</v>
      </c>
      <c r="AR260" t="s">
        <v>93</v>
      </c>
      <c r="AS260" t="s">
        <v>94</v>
      </c>
      <c r="AT260" t="s">
        <v>95</v>
      </c>
      <c r="AU260">
        <v>2008</v>
      </c>
      <c r="AV260">
        <v>43</v>
      </c>
      <c r="AW260">
        <v>7</v>
      </c>
      <c r="AX260" t="s">
        <v>74</v>
      </c>
      <c r="AY260" t="s">
        <v>96</v>
      </c>
      <c r="AZ260" t="s">
        <v>74</v>
      </c>
      <c r="BA260" t="s">
        <v>74</v>
      </c>
      <c r="BB260" t="s">
        <v>2179</v>
      </c>
      <c r="BC260" t="s">
        <v>2179</v>
      </c>
      <c r="BD260" t="s">
        <v>74</v>
      </c>
      <c r="BE260" t="s">
        <v>74</v>
      </c>
      <c r="BF260" t="s">
        <v>74</v>
      </c>
      <c r="BG260" t="s">
        <v>74</v>
      </c>
      <c r="BH260" t="s">
        <v>74</v>
      </c>
      <c r="BI260">
        <v>1</v>
      </c>
      <c r="BJ260" t="s">
        <v>98</v>
      </c>
      <c r="BK260" t="s">
        <v>99</v>
      </c>
      <c r="BL260" t="s">
        <v>98</v>
      </c>
      <c r="BM260" t="s">
        <v>100</v>
      </c>
      <c r="BN260" t="s">
        <v>74</v>
      </c>
      <c r="BO260" t="s">
        <v>74</v>
      </c>
      <c r="BP260" t="s">
        <v>74</v>
      </c>
      <c r="BQ260" t="s">
        <v>74</v>
      </c>
      <c r="BR260" t="s">
        <v>101</v>
      </c>
      <c r="BS260" t="s">
        <v>2186</v>
      </c>
      <c r="BT260" t="str">
        <f>HYPERLINK("https%3A%2F%2Fwww.webofscience.com%2Fwos%2Fwoscc%2Ffull-record%2FWOS:000257683100269","View Full Record in Web of Science")</f>
        <v>View Full Record in Web of Science</v>
      </c>
    </row>
    <row r="261" spans="1:72" x14ac:dyDescent="0.15">
      <c r="A261" t="s">
        <v>72</v>
      </c>
      <c r="B261" t="s">
        <v>2187</v>
      </c>
      <c r="C261" t="s">
        <v>74</v>
      </c>
      <c r="D261" t="s">
        <v>74</v>
      </c>
      <c r="E261" t="s">
        <v>74</v>
      </c>
      <c r="F261" t="s">
        <v>2188</v>
      </c>
      <c r="G261" t="s">
        <v>74</v>
      </c>
      <c r="H261" t="s">
        <v>74</v>
      </c>
      <c r="I261" t="s">
        <v>2189</v>
      </c>
      <c r="J261" t="s">
        <v>77</v>
      </c>
      <c r="K261" t="s">
        <v>74</v>
      </c>
      <c r="L261" t="s">
        <v>74</v>
      </c>
      <c r="M261" t="s">
        <v>78</v>
      </c>
      <c r="N261" t="s">
        <v>52</v>
      </c>
      <c r="O261" t="s">
        <v>79</v>
      </c>
      <c r="P261" t="s">
        <v>80</v>
      </c>
      <c r="Q261" t="s">
        <v>81</v>
      </c>
      <c r="R261" t="s">
        <v>74</v>
      </c>
      <c r="S261" t="s">
        <v>82</v>
      </c>
      <c r="T261" t="s">
        <v>74</v>
      </c>
      <c r="U261" t="s">
        <v>2190</v>
      </c>
      <c r="V261" t="s">
        <v>74</v>
      </c>
      <c r="W261" t="s">
        <v>2191</v>
      </c>
      <c r="X261" t="s">
        <v>385</v>
      </c>
      <c r="Y261" t="s">
        <v>74</v>
      </c>
      <c r="Z261" t="s">
        <v>2192</v>
      </c>
      <c r="AA261" t="s">
        <v>74</v>
      </c>
      <c r="AB261" t="s">
        <v>74</v>
      </c>
      <c r="AC261" t="s">
        <v>74</v>
      </c>
      <c r="AD261" t="s">
        <v>74</v>
      </c>
      <c r="AE261" t="s">
        <v>74</v>
      </c>
      <c r="AF261" t="s">
        <v>74</v>
      </c>
      <c r="AG261">
        <v>7</v>
      </c>
      <c r="AH261">
        <v>4</v>
      </c>
      <c r="AI261">
        <v>4</v>
      </c>
      <c r="AJ261">
        <v>0</v>
      </c>
      <c r="AK261">
        <v>1</v>
      </c>
      <c r="AL261" t="s">
        <v>88</v>
      </c>
      <c r="AM261" t="s">
        <v>89</v>
      </c>
      <c r="AN261" t="s">
        <v>90</v>
      </c>
      <c r="AO261" t="s">
        <v>91</v>
      </c>
      <c r="AP261" t="s">
        <v>92</v>
      </c>
      <c r="AQ261" t="s">
        <v>74</v>
      </c>
      <c r="AR261" t="s">
        <v>93</v>
      </c>
      <c r="AS261" t="s">
        <v>94</v>
      </c>
      <c r="AT261" t="s">
        <v>95</v>
      </c>
      <c r="AU261">
        <v>2008</v>
      </c>
      <c r="AV261">
        <v>43</v>
      </c>
      <c r="AW261">
        <v>7</v>
      </c>
      <c r="AX261" t="s">
        <v>74</v>
      </c>
      <c r="AY261" t="s">
        <v>96</v>
      </c>
      <c r="AZ261" t="s">
        <v>74</v>
      </c>
      <c r="BA261" t="s">
        <v>74</v>
      </c>
      <c r="BB261" t="s">
        <v>2193</v>
      </c>
      <c r="BC261" t="s">
        <v>2193</v>
      </c>
      <c r="BD261" t="s">
        <v>74</v>
      </c>
      <c r="BE261" t="s">
        <v>74</v>
      </c>
      <c r="BF261" t="s">
        <v>74</v>
      </c>
      <c r="BG261" t="s">
        <v>74</v>
      </c>
      <c r="BH261" t="s">
        <v>74</v>
      </c>
      <c r="BI261">
        <v>1</v>
      </c>
      <c r="BJ261" t="s">
        <v>98</v>
      </c>
      <c r="BK261" t="s">
        <v>99</v>
      </c>
      <c r="BL261" t="s">
        <v>98</v>
      </c>
      <c r="BM261" t="s">
        <v>100</v>
      </c>
      <c r="BN261" t="s">
        <v>74</v>
      </c>
      <c r="BO261" t="s">
        <v>74</v>
      </c>
      <c r="BP261" t="s">
        <v>74</v>
      </c>
      <c r="BQ261" t="s">
        <v>74</v>
      </c>
      <c r="BR261" t="s">
        <v>101</v>
      </c>
      <c r="BS261" t="s">
        <v>2194</v>
      </c>
      <c r="BT261" t="str">
        <f>HYPERLINK("https%3A%2F%2Fwww.webofscience.com%2Fwos%2Fwoscc%2Ffull-record%2FWOS:000257683100271","View Full Record in Web of Science")</f>
        <v>View Full Record in Web of Science</v>
      </c>
    </row>
    <row r="262" spans="1:72" x14ac:dyDescent="0.15">
      <c r="A262" t="s">
        <v>72</v>
      </c>
      <c r="B262" t="s">
        <v>2195</v>
      </c>
      <c r="C262" t="s">
        <v>74</v>
      </c>
      <c r="D262" t="s">
        <v>74</v>
      </c>
      <c r="E262" t="s">
        <v>74</v>
      </c>
      <c r="F262" t="s">
        <v>2196</v>
      </c>
      <c r="G262" t="s">
        <v>74</v>
      </c>
      <c r="H262" t="s">
        <v>74</v>
      </c>
      <c r="I262" t="s">
        <v>2197</v>
      </c>
      <c r="J262" t="s">
        <v>77</v>
      </c>
      <c r="K262" t="s">
        <v>74</v>
      </c>
      <c r="L262" t="s">
        <v>74</v>
      </c>
      <c r="M262" t="s">
        <v>78</v>
      </c>
      <c r="N262" t="s">
        <v>52</v>
      </c>
      <c r="O262" t="s">
        <v>79</v>
      </c>
      <c r="P262" t="s">
        <v>80</v>
      </c>
      <c r="Q262" t="s">
        <v>81</v>
      </c>
      <c r="R262" t="s">
        <v>74</v>
      </c>
      <c r="S262" t="s">
        <v>82</v>
      </c>
      <c r="T262" t="s">
        <v>74</v>
      </c>
      <c r="U262" t="s">
        <v>74</v>
      </c>
      <c r="V262" t="s">
        <v>74</v>
      </c>
      <c r="W262" t="s">
        <v>2198</v>
      </c>
      <c r="X262" t="s">
        <v>218</v>
      </c>
      <c r="Y262" t="s">
        <v>74</v>
      </c>
      <c r="Z262" t="s">
        <v>2199</v>
      </c>
      <c r="AA262" t="s">
        <v>2200</v>
      </c>
      <c r="AB262" t="s">
        <v>2201</v>
      </c>
      <c r="AC262" t="s">
        <v>74</v>
      </c>
      <c r="AD262" t="s">
        <v>74</v>
      </c>
      <c r="AE262" t="s">
        <v>74</v>
      </c>
      <c r="AF262" t="s">
        <v>74</v>
      </c>
      <c r="AG262">
        <v>5</v>
      </c>
      <c r="AH262">
        <v>1</v>
      </c>
      <c r="AI262">
        <v>1</v>
      </c>
      <c r="AJ262">
        <v>0</v>
      </c>
      <c r="AK262">
        <v>1</v>
      </c>
      <c r="AL262" t="s">
        <v>88</v>
      </c>
      <c r="AM262" t="s">
        <v>89</v>
      </c>
      <c r="AN262" t="s">
        <v>90</v>
      </c>
      <c r="AO262" t="s">
        <v>91</v>
      </c>
      <c r="AP262" t="s">
        <v>92</v>
      </c>
      <c r="AQ262" t="s">
        <v>74</v>
      </c>
      <c r="AR262" t="s">
        <v>93</v>
      </c>
      <c r="AS262" t="s">
        <v>94</v>
      </c>
      <c r="AT262" t="s">
        <v>95</v>
      </c>
      <c r="AU262">
        <v>2008</v>
      </c>
      <c r="AV262">
        <v>43</v>
      </c>
      <c r="AW262">
        <v>7</v>
      </c>
      <c r="AX262" t="s">
        <v>74</v>
      </c>
      <c r="AY262" t="s">
        <v>96</v>
      </c>
      <c r="AZ262" t="s">
        <v>74</v>
      </c>
      <c r="BA262" t="s">
        <v>74</v>
      </c>
      <c r="BB262" t="s">
        <v>2193</v>
      </c>
      <c r="BC262" t="s">
        <v>2193</v>
      </c>
      <c r="BD262" t="s">
        <v>74</v>
      </c>
      <c r="BE262" t="s">
        <v>74</v>
      </c>
      <c r="BF262" t="s">
        <v>74</v>
      </c>
      <c r="BG262" t="s">
        <v>74</v>
      </c>
      <c r="BH262" t="s">
        <v>74</v>
      </c>
      <c r="BI262">
        <v>1</v>
      </c>
      <c r="BJ262" t="s">
        <v>98</v>
      </c>
      <c r="BK262" t="s">
        <v>99</v>
      </c>
      <c r="BL262" t="s">
        <v>98</v>
      </c>
      <c r="BM262" t="s">
        <v>100</v>
      </c>
      <c r="BN262" t="s">
        <v>74</v>
      </c>
      <c r="BO262" t="s">
        <v>74</v>
      </c>
      <c r="BP262" t="s">
        <v>74</v>
      </c>
      <c r="BQ262" t="s">
        <v>74</v>
      </c>
      <c r="BR262" t="s">
        <v>101</v>
      </c>
      <c r="BS262" t="s">
        <v>2202</v>
      </c>
      <c r="BT262" t="str">
        <f>HYPERLINK("https%3A%2F%2Fwww.webofscience.com%2Fwos%2Fwoscc%2Ffull-record%2FWOS:000257683100272","View Full Record in Web of Science")</f>
        <v>View Full Record in Web of Science</v>
      </c>
    </row>
    <row r="263" spans="1:72" x14ac:dyDescent="0.15">
      <c r="A263" t="s">
        <v>72</v>
      </c>
      <c r="B263" t="s">
        <v>2203</v>
      </c>
      <c r="C263" t="s">
        <v>74</v>
      </c>
      <c r="D263" t="s">
        <v>74</v>
      </c>
      <c r="E263" t="s">
        <v>74</v>
      </c>
      <c r="F263" t="s">
        <v>2204</v>
      </c>
      <c r="G263" t="s">
        <v>74</v>
      </c>
      <c r="H263" t="s">
        <v>74</v>
      </c>
      <c r="I263" t="s">
        <v>2205</v>
      </c>
      <c r="J263" t="s">
        <v>77</v>
      </c>
      <c r="K263" t="s">
        <v>74</v>
      </c>
      <c r="L263" t="s">
        <v>74</v>
      </c>
      <c r="M263" t="s">
        <v>78</v>
      </c>
      <c r="N263" t="s">
        <v>52</v>
      </c>
      <c r="O263" t="s">
        <v>79</v>
      </c>
      <c r="P263" t="s">
        <v>80</v>
      </c>
      <c r="Q263" t="s">
        <v>81</v>
      </c>
      <c r="R263" t="s">
        <v>74</v>
      </c>
      <c r="S263" t="s">
        <v>82</v>
      </c>
      <c r="T263" t="s">
        <v>74</v>
      </c>
      <c r="U263" t="s">
        <v>2206</v>
      </c>
      <c r="V263" t="s">
        <v>74</v>
      </c>
      <c r="W263" t="s">
        <v>2207</v>
      </c>
      <c r="X263" t="s">
        <v>74</v>
      </c>
      <c r="Y263" t="s">
        <v>74</v>
      </c>
      <c r="Z263" t="s">
        <v>74</v>
      </c>
      <c r="AA263" t="s">
        <v>74</v>
      </c>
      <c r="AB263" t="s">
        <v>74</v>
      </c>
      <c r="AC263" t="s">
        <v>74</v>
      </c>
      <c r="AD263" t="s">
        <v>74</v>
      </c>
      <c r="AE263" t="s">
        <v>74</v>
      </c>
      <c r="AF263" t="s">
        <v>74</v>
      </c>
      <c r="AG263">
        <v>3</v>
      </c>
      <c r="AH263">
        <v>0</v>
      </c>
      <c r="AI263">
        <v>0</v>
      </c>
      <c r="AJ263">
        <v>0</v>
      </c>
      <c r="AK263">
        <v>0</v>
      </c>
      <c r="AL263" t="s">
        <v>109</v>
      </c>
      <c r="AM263" t="s">
        <v>110</v>
      </c>
      <c r="AN263" t="s">
        <v>111</v>
      </c>
      <c r="AO263" t="s">
        <v>91</v>
      </c>
      <c r="AP263" t="s">
        <v>74</v>
      </c>
      <c r="AQ263" t="s">
        <v>74</v>
      </c>
      <c r="AR263" t="s">
        <v>93</v>
      </c>
      <c r="AS263" t="s">
        <v>94</v>
      </c>
      <c r="AT263" t="s">
        <v>95</v>
      </c>
      <c r="AU263">
        <v>2008</v>
      </c>
      <c r="AV263">
        <v>43</v>
      </c>
      <c r="AW263">
        <v>7</v>
      </c>
      <c r="AX263" t="s">
        <v>74</v>
      </c>
      <c r="AY263" t="s">
        <v>96</v>
      </c>
      <c r="AZ263" t="s">
        <v>74</v>
      </c>
      <c r="BA263" t="s">
        <v>74</v>
      </c>
      <c r="BB263" t="s">
        <v>2208</v>
      </c>
      <c r="BC263" t="s">
        <v>2208</v>
      </c>
      <c r="BD263" t="s">
        <v>74</v>
      </c>
      <c r="BE263" t="s">
        <v>74</v>
      </c>
      <c r="BF263" t="s">
        <v>74</v>
      </c>
      <c r="BG263" t="s">
        <v>74</v>
      </c>
      <c r="BH263" t="s">
        <v>74</v>
      </c>
      <c r="BI263">
        <v>1</v>
      </c>
      <c r="BJ263" t="s">
        <v>98</v>
      </c>
      <c r="BK263" t="s">
        <v>113</v>
      </c>
      <c r="BL263" t="s">
        <v>98</v>
      </c>
      <c r="BM263" t="s">
        <v>100</v>
      </c>
      <c r="BN263" t="s">
        <v>74</v>
      </c>
      <c r="BO263" t="s">
        <v>74</v>
      </c>
      <c r="BP263" t="s">
        <v>74</v>
      </c>
      <c r="BQ263" t="s">
        <v>74</v>
      </c>
      <c r="BR263" t="s">
        <v>101</v>
      </c>
      <c r="BS263" t="s">
        <v>2209</v>
      </c>
      <c r="BT263" t="str">
        <f>HYPERLINK("https%3A%2F%2Fwww.webofscience.com%2Fwos%2Fwoscc%2Ffull-record%2FWOS:000257683100273","View Full Record in Web of Science")</f>
        <v>View Full Record in Web of Science</v>
      </c>
    </row>
    <row r="264" spans="1:72" x14ac:dyDescent="0.15">
      <c r="A264" t="s">
        <v>72</v>
      </c>
      <c r="B264" t="s">
        <v>2210</v>
      </c>
      <c r="C264" t="s">
        <v>74</v>
      </c>
      <c r="D264" t="s">
        <v>74</v>
      </c>
      <c r="E264" t="s">
        <v>74</v>
      </c>
      <c r="F264" t="s">
        <v>2211</v>
      </c>
      <c r="G264" t="s">
        <v>74</v>
      </c>
      <c r="H264" t="s">
        <v>74</v>
      </c>
      <c r="I264" t="s">
        <v>2212</v>
      </c>
      <c r="J264" t="s">
        <v>77</v>
      </c>
      <c r="K264" t="s">
        <v>74</v>
      </c>
      <c r="L264" t="s">
        <v>74</v>
      </c>
      <c r="M264" t="s">
        <v>78</v>
      </c>
      <c r="N264" t="s">
        <v>52</v>
      </c>
      <c r="O264" t="s">
        <v>79</v>
      </c>
      <c r="P264" t="s">
        <v>80</v>
      </c>
      <c r="Q264" t="s">
        <v>81</v>
      </c>
      <c r="R264" t="s">
        <v>74</v>
      </c>
      <c r="S264" t="s">
        <v>82</v>
      </c>
      <c r="T264" t="s">
        <v>74</v>
      </c>
      <c r="U264" t="s">
        <v>74</v>
      </c>
      <c r="V264" t="s">
        <v>74</v>
      </c>
      <c r="W264" t="s">
        <v>2213</v>
      </c>
      <c r="X264" t="s">
        <v>2214</v>
      </c>
      <c r="Y264" t="s">
        <v>74</v>
      </c>
      <c r="Z264" t="s">
        <v>2215</v>
      </c>
      <c r="AA264" t="s">
        <v>2216</v>
      </c>
      <c r="AB264" t="s">
        <v>2217</v>
      </c>
      <c r="AC264" t="s">
        <v>74</v>
      </c>
      <c r="AD264" t="s">
        <v>74</v>
      </c>
      <c r="AE264" t="s">
        <v>74</v>
      </c>
      <c r="AF264" t="s">
        <v>74</v>
      </c>
      <c r="AG264">
        <v>3</v>
      </c>
      <c r="AH264">
        <v>3</v>
      </c>
      <c r="AI264">
        <v>3</v>
      </c>
      <c r="AJ264">
        <v>0</v>
      </c>
      <c r="AK264">
        <v>0</v>
      </c>
      <c r="AL264" t="s">
        <v>149</v>
      </c>
      <c r="AM264" t="s">
        <v>150</v>
      </c>
      <c r="AN264" t="s">
        <v>151</v>
      </c>
      <c r="AO264" t="s">
        <v>91</v>
      </c>
      <c r="AP264" t="s">
        <v>74</v>
      </c>
      <c r="AQ264" t="s">
        <v>74</v>
      </c>
      <c r="AR264" t="s">
        <v>93</v>
      </c>
      <c r="AS264" t="s">
        <v>94</v>
      </c>
      <c r="AT264" t="s">
        <v>95</v>
      </c>
      <c r="AU264">
        <v>2008</v>
      </c>
      <c r="AV264">
        <v>43</v>
      </c>
      <c r="AW264">
        <v>7</v>
      </c>
      <c r="AX264" t="s">
        <v>74</v>
      </c>
      <c r="AY264" t="s">
        <v>96</v>
      </c>
      <c r="AZ264" t="s">
        <v>74</v>
      </c>
      <c r="BA264" t="s">
        <v>74</v>
      </c>
      <c r="BB264" t="s">
        <v>2208</v>
      </c>
      <c r="BC264" t="s">
        <v>2208</v>
      </c>
      <c r="BD264" t="s">
        <v>74</v>
      </c>
      <c r="BE264" t="s">
        <v>74</v>
      </c>
      <c r="BF264" t="s">
        <v>74</v>
      </c>
      <c r="BG264" t="s">
        <v>74</v>
      </c>
      <c r="BH264" t="s">
        <v>74</v>
      </c>
      <c r="BI264">
        <v>1</v>
      </c>
      <c r="BJ264" t="s">
        <v>98</v>
      </c>
      <c r="BK264" t="s">
        <v>99</v>
      </c>
      <c r="BL264" t="s">
        <v>98</v>
      </c>
      <c r="BM264" t="s">
        <v>100</v>
      </c>
      <c r="BN264" t="s">
        <v>74</v>
      </c>
      <c r="BO264" t="s">
        <v>74</v>
      </c>
      <c r="BP264" t="s">
        <v>74</v>
      </c>
      <c r="BQ264" t="s">
        <v>74</v>
      </c>
      <c r="BR264" t="s">
        <v>101</v>
      </c>
      <c r="BS264" t="s">
        <v>2218</v>
      </c>
      <c r="BT264" t="str">
        <f>HYPERLINK("https%3A%2F%2Fwww.webofscience.com%2Fwos%2Fwoscc%2Ffull-record%2FWOS:000257683100274","View Full Record in Web of Science")</f>
        <v>View Full Record in Web of Science</v>
      </c>
    </row>
    <row r="265" spans="1:72" x14ac:dyDescent="0.15">
      <c r="A265" t="s">
        <v>72</v>
      </c>
      <c r="B265" t="s">
        <v>2219</v>
      </c>
      <c r="C265" t="s">
        <v>74</v>
      </c>
      <c r="D265" t="s">
        <v>74</v>
      </c>
      <c r="E265" t="s">
        <v>74</v>
      </c>
      <c r="F265" t="s">
        <v>2220</v>
      </c>
      <c r="G265" t="s">
        <v>74</v>
      </c>
      <c r="H265" t="s">
        <v>74</v>
      </c>
      <c r="I265" t="s">
        <v>2221</v>
      </c>
      <c r="J265" t="s">
        <v>77</v>
      </c>
      <c r="K265" t="s">
        <v>74</v>
      </c>
      <c r="L265" t="s">
        <v>74</v>
      </c>
      <c r="M265" t="s">
        <v>78</v>
      </c>
      <c r="N265" t="s">
        <v>52</v>
      </c>
      <c r="O265" t="s">
        <v>79</v>
      </c>
      <c r="P265" t="s">
        <v>80</v>
      </c>
      <c r="Q265" t="s">
        <v>81</v>
      </c>
      <c r="R265" t="s">
        <v>74</v>
      </c>
      <c r="S265" t="s">
        <v>82</v>
      </c>
      <c r="T265" t="s">
        <v>74</v>
      </c>
      <c r="U265" t="s">
        <v>74</v>
      </c>
      <c r="V265" t="s">
        <v>74</v>
      </c>
      <c r="W265" t="s">
        <v>2222</v>
      </c>
      <c r="X265" t="s">
        <v>595</v>
      </c>
      <c r="Y265" t="s">
        <v>74</v>
      </c>
      <c r="Z265" t="s">
        <v>2223</v>
      </c>
      <c r="AA265" t="s">
        <v>74</v>
      </c>
      <c r="AB265" t="s">
        <v>74</v>
      </c>
      <c r="AC265" t="s">
        <v>74</v>
      </c>
      <c r="AD265" t="s">
        <v>74</v>
      </c>
      <c r="AE265" t="s">
        <v>74</v>
      </c>
      <c r="AF265" t="s">
        <v>74</v>
      </c>
      <c r="AG265">
        <v>2</v>
      </c>
      <c r="AH265">
        <v>0</v>
      </c>
      <c r="AI265">
        <v>0</v>
      </c>
      <c r="AJ265">
        <v>0</v>
      </c>
      <c r="AK265">
        <v>1</v>
      </c>
      <c r="AL265" t="s">
        <v>88</v>
      </c>
      <c r="AM265" t="s">
        <v>89</v>
      </c>
      <c r="AN265" t="s">
        <v>90</v>
      </c>
      <c r="AO265" t="s">
        <v>91</v>
      </c>
      <c r="AP265" t="s">
        <v>92</v>
      </c>
      <c r="AQ265" t="s">
        <v>74</v>
      </c>
      <c r="AR265" t="s">
        <v>93</v>
      </c>
      <c r="AS265" t="s">
        <v>94</v>
      </c>
      <c r="AT265" t="s">
        <v>95</v>
      </c>
      <c r="AU265">
        <v>2008</v>
      </c>
      <c r="AV265">
        <v>43</v>
      </c>
      <c r="AW265">
        <v>7</v>
      </c>
      <c r="AX265" t="s">
        <v>74</v>
      </c>
      <c r="AY265" t="s">
        <v>96</v>
      </c>
      <c r="AZ265" t="s">
        <v>74</v>
      </c>
      <c r="BA265" t="s">
        <v>74</v>
      </c>
      <c r="BB265" t="s">
        <v>2224</v>
      </c>
      <c r="BC265" t="s">
        <v>2224</v>
      </c>
      <c r="BD265" t="s">
        <v>74</v>
      </c>
      <c r="BE265" t="s">
        <v>74</v>
      </c>
      <c r="BF265" t="s">
        <v>74</v>
      </c>
      <c r="BG265" t="s">
        <v>74</v>
      </c>
      <c r="BH265" t="s">
        <v>74</v>
      </c>
      <c r="BI265">
        <v>1</v>
      </c>
      <c r="BJ265" t="s">
        <v>98</v>
      </c>
      <c r="BK265" t="s">
        <v>99</v>
      </c>
      <c r="BL265" t="s">
        <v>98</v>
      </c>
      <c r="BM265" t="s">
        <v>100</v>
      </c>
      <c r="BN265" t="s">
        <v>74</v>
      </c>
      <c r="BO265" t="s">
        <v>74</v>
      </c>
      <c r="BP265" t="s">
        <v>74</v>
      </c>
      <c r="BQ265" t="s">
        <v>74</v>
      </c>
      <c r="BR265" t="s">
        <v>101</v>
      </c>
      <c r="BS265" t="s">
        <v>2225</v>
      </c>
      <c r="BT265" t="str">
        <f>HYPERLINK("https%3A%2F%2Fwww.webofscience.com%2Fwos%2Fwoscc%2Ffull-record%2FWOS:000257683100275","View Full Record in Web of Science")</f>
        <v>View Full Record in Web of Science</v>
      </c>
    </row>
    <row r="266" spans="1:72" x14ac:dyDescent="0.15">
      <c r="A266" t="s">
        <v>72</v>
      </c>
      <c r="B266" t="s">
        <v>2226</v>
      </c>
      <c r="C266" t="s">
        <v>74</v>
      </c>
      <c r="D266" t="s">
        <v>74</v>
      </c>
      <c r="E266" t="s">
        <v>74</v>
      </c>
      <c r="F266" t="s">
        <v>2227</v>
      </c>
      <c r="G266" t="s">
        <v>74</v>
      </c>
      <c r="H266" t="s">
        <v>74</v>
      </c>
      <c r="I266" t="s">
        <v>2228</v>
      </c>
      <c r="J266" t="s">
        <v>77</v>
      </c>
      <c r="K266" t="s">
        <v>74</v>
      </c>
      <c r="L266" t="s">
        <v>74</v>
      </c>
      <c r="M266" t="s">
        <v>78</v>
      </c>
      <c r="N266" t="s">
        <v>52</v>
      </c>
      <c r="O266" t="s">
        <v>79</v>
      </c>
      <c r="P266" t="s">
        <v>80</v>
      </c>
      <c r="Q266" t="s">
        <v>81</v>
      </c>
      <c r="R266" t="s">
        <v>74</v>
      </c>
      <c r="S266" t="s">
        <v>82</v>
      </c>
      <c r="T266" t="s">
        <v>74</v>
      </c>
      <c r="U266" t="s">
        <v>74</v>
      </c>
      <c r="V266" t="s">
        <v>74</v>
      </c>
      <c r="W266" t="s">
        <v>2229</v>
      </c>
      <c r="X266" t="s">
        <v>2230</v>
      </c>
      <c r="Y266" t="s">
        <v>74</v>
      </c>
      <c r="Z266" t="s">
        <v>2231</v>
      </c>
      <c r="AA266" t="s">
        <v>2232</v>
      </c>
      <c r="AB266" t="s">
        <v>2233</v>
      </c>
      <c r="AC266" t="s">
        <v>2234</v>
      </c>
      <c r="AD266" t="s">
        <v>2235</v>
      </c>
      <c r="AE266" t="s">
        <v>74</v>
      </c>
      <c r="AF266" t="s">
        <v>74</v>
      </c>
      <c r="AG266">
        <v>0</v>
      </c>
      <c r="AH266">
        <v>3</v>
      </c>
      <c r="AI266">
        <v>3</v>
      </c>
      <c r="AJ266">
        <v>0</v>
      </c>
      <c r="AK266">
        <v>2</v>
      </c>
      <c r="AL266" t="s">
        <v>149</v>
      </c>
      <c r="AM266" t="s">
        <v>150</v>
      </c>
      <c r="AN266" t="s">
        <v>151</v>
      </c>
      <c r="AO266" t="s">
        <v>91</v>
      </c>
      <c r="AP266" t="s">
        <v>74</v>
      </c>
      <c r="AQ266" t="s">
        <v>74</v>
      </c>
      <c r="AR266" t="s">
        <v>93</v>
      </c>
      <c r="AS266" t="s">
        <v>94</v>
      </c>
      <c r="AT266" t="s">
        <v>95</v>
      </c>
      <c r="AU266">
        <v>2008</v>
      </c>
      <c r="AV266">
        <v>43</v>
      </c>
      <c r="AW266">
        <v>7</v>
      </c>
      <c r="AX266" t="s">
        <v>74</v>
      </c>
      <c r="AY266" t="s">
        <v>96</v>
      </c>
      <c r="AZ266" t="s">
        <v>74</v>
      </c>
      <c r="BA266" t="s">
        <v>74</v>
      </c>
      <c r="BB266" t="s">
        <v>2224</v>
      </c>
      <c r="BC266" t="s">
        <v>2224</v>
      </c>
      <c r="BD266" t="s">
        <v>74</v>
      </c>
      <c r="BE266" t="s">
        <v>74</v>
      </c>
      <c r="BF266" t="s">
        <v>74</v>
      </c>
      <c r="BG266" t="s">
        <v>74</v>
      </c>
      <c r="BH266" t="s">
        <v>74</v>
      </c>
      <c r="BI266">
        <v>1</v>
      </c>
      <c r="BJ266" t="s">
        <v>98</v>
      </c>
      <c r="BK266" t="s">
        <v>99</v>
      </c>
      <c r="BL266" t="s">
        <v>98</v>
      </c>
      <c r="BM266" t="s">
        <v>100</v>
      </c>
      <c r="BN266" t="s">
        <v>74</v>
      </c>
      <c r="BO266" t="s">
        <v>74</v>
      </c>
      <c r="BP266" t="s">
        <v>74</v>
      </c>
      <c r="BQ266" t="s">
        <v>74</v>
      </c>
      <c r="BR266" t="s">
        <v>101</v>
      </c>
      <c r="BS266" t="s">
        <v>2236</v>
      </c>
      <c r="BT266" t="str">
        <f>HYPERLINK("https%3A%2F%2Fwww.webofscience.com%2Fwos%2Fwoscc%2Ffull-record%2FWOS:000257683100276","View Full Record in Web of Science")</f>
        <v>View Full Record in Web of Science</v>
      </c>
    </row>
    <row r="267" spans="1:72" x14ac:dyDescent="0.15">
      <c r="A267" t="s">
        <v>72</v>
      </c>
      <c r="B267" t="s">
        <v>2237</v>
      </c>
      <c r="C267" t="s">
        <v>74</v>
      </c>
      <c r="D267" t="s">
        <v>74</v>
      </c>
      <c r="E267" t="s">
        <v>74</v>
      </c>
      <c r="F267" t="s">
        <v>2238</v>
      </c>
      <c r="G267" t="s">
        <v>74</v>
      </c>
      <c r="H267" t="s">
        <v>74</v>
      </c>
      <c r="I267" t="s">
        <v>2239</v>
      </c>
      <c r="J267" t="s">
        <v>77</v>
      </c>
      <c r="K267" t="s">
        <v>74</v>
      </c>
      <c r="L267" t="s">
        <v>74</v>
      </c>
      <c r="M267" t="s">
        <v>78</v>
      </c>
      <c r="N267" t="s">
        <v>52</v>
      </c>
      <c r="O267" t="s">
        <v>79</v>
      </c>
      <c r="P267" t="s">
        <v>80</v>
      </c>
      <c r="Q267" t="s">
        <v>81</v>
      </c>
      <c r="R267" t="s">
        <v>74</v>
      </c>
      <c r="S267" t="s">
        <v>82</v>
      </c>
      <c r="T267" t="s">
        <v>74</v>
      </c>
      <c r="U267" t="s">
        <v>74</v>
      </c>
      <c r="V267" t="s">
        <v>74</v>
      </c>
      <c r="W267" t="s">
        <v>2240</v>
      </c>
      <c r="X267" t="s">
        <v>2241</v>
      </c>
      <c r="Y267" t="s">
        <v>74</v>
      </c>
      <c r="Z267" t="s">
        <v>2242</v>
      </c>
      <c r="AA267" t="s">
        <v>946</v>
      </c>
      <c r="AB267" t="s">
        <v>74</v>
      </c>
      <c r="AC267" t="s">
        <v>74</v>
      </c>
      <c r="AD267" t="s">
        <v>74</v>
      </c>
      <c r="AE267" t="s">
        <v>74</v>
      </c>
      <c r="AF267" t="s">
        <v>74</v>
      </c>
      <c r="AG267">
        <v>5</v>
      </c>
      <c r="AH267">
        <v>0</v>
      </c>
      <c r="AI267">
        <v>0</v>
      </c>
      <c r="AJ267">
        <v>0</v>
      </c>
      <c r="AK267">
        <v>0</v>
      </c>
      <c r="AL267" t="s">
        <v>88</v>
      </c>
      <c r="AM267" t="s">
        <v>89</v>
      </c>
      <c r="AN267" t="s">
        <v>90</v>
      </c>
      <c r="AO267" t="s">
        <v>91</v>
      </c>
      <c r="AP267" t="s">
        <v>92</v>
      </c>
      <c r="AQ267" t="s">
        <v>74</v>
      </c>
      <c r="AR267" t="s">
        <v>93</v>
      </c>
      <c r="AS267" t="s">
        <v>94</v>
      </c>
      <c r="AT267" t="s">
        <v>95</v>
      </c>
      <c r="AU267">
        <v>2008</v>
      </c>
      <c r="AV267">
        <v>43</v>
      </c>
      <c r="AW267">
        <v>7</v>
      </c>
      <c r="AX267" t="s">
        <v>74</v>
      </c>
      <c r="AY267" t="s">
        <v>96</v>
      </c>
      <c r="AZ267" t="s">
        <v>74</v>
      </c>
      <c r="BA267" t="s">
        <v>74</v>
      </c>
      <c r="BB267" t="s">
        <v>2243</v>
      </c>
      <c r="BC267" t="s">
        <v>2243</v>
      </c>
      <c r="BD267" t="s">
        <v>74</v>
      </c>
      <c r="BE267" t="s">
        <v>74</v>
      </c>
      <c r="BF267" t="s">
        <v>74</v>
      </c>
      <c r="BG267" t="s">
        <v>74</v>
      </c>
      <c r="BH267" t="s">
        <v>74</v>
      </c>
      <c r="BI267">
        <v>1</v>
      </c>
      <c r="BJ267" t="s">
        <v>98</v>
      </c>
      <c r="BK267" t="s">
        <v>99</v>
      </c>
      <c r="BL267" t="s">
        <v>98</v>
      </c>
      <c r="BM267" t="s">
        <v>100</v>
      </c>
      <c r="BN267" t="s">
        <v>74</v>
      </c>
      <c r="BO267" t="s">
        <v>74</v>
      </c>
      <c r="BP267" t="s">
        <v>74</v>
      </c>
      <c r="BQ267" t="s">
        <v>74</v>
      </c>
      <c r="BR267" t="s">
        <v>101</v>
      </c>
      <c r="BS267" t="s">
        <v>2244</v>
      </c>
      <c r="BT267" t="str">
        <f>HYPERLINK("https%3A%2F%2Fwww.webofscience.com%2Fwos%2Fwoscc%2Ffull-record%2FWOS:000257683100277","View Full Record in Web of Science")</f>
        <v>View Full Record in Web of Science</v>
      </c>
    </row>
    <row r="268" spans="1:72" x14ac:dyDescent="0.15">
      <c r="A268" t="s">
        <v>72</v>
      </c>
      <c r="B268" t="s">
        <v>2245</v>
      </c>
      <c r="C268" t="s">
        <v>74</v>
      </c>
      <c r="D268" t="s">
        <v>74</v>
      </c>
      <c r="E268" t="s">
        <v>74</v>
      </c>
      <c r="F268" t="s">
        <v>2246</v>
      </c>
      <c r="G268" t="s">
        <v>74</v>
      </c>
      <c r="H268" t="s">
        <v>74</v>
      </c>
      <c r="I268" t="s">
        <v>2247</v>
      </c>
      <c r="J268" t="s">
        <v>77</v>
      </c>
      <c r="K268" t="s">
        <v>74</v>
      </c>
      <c r="L268" t="s">
        <v>74</v>
      </c>
      <c r="M268" t="s">
        <v>78</v>
      </c>
      <c r="N268" t="s">
        <v>52</v>
      </c>
      <c r="O268" t="s">
        <v>79</v>
      </c>
      <c r="P268" t="s">
        <v>80</v>
      </c>
      <c r="Q268" t="s">
        <v>81</v>
      </c>
      <c r="R268" t="s">
        <v>74</v>
      </c>
      <c r="S268" t="s">
        <v>82</v>
      </c>
      <c r="T268" t="s">
        <v>74</v>
      </c>
      <c r="U268" t="s">
        <v>74</v>
      </c>
      <c r="V268" t="s">
        <v>74</v>
      </c>
      <c r="W268" t="s">
        <v>2248</v>
      </c>
      <c r="X268" t="s">
        <v>2249</v>
      </c>
      <c r="Y268" t="s">
        <v>74</v>
      </c>
      <c r="Z268" t="s">
        <v>2250</v>
      </c>
      <c r="AA268" t="s">
        <v>74</v>
      </c>
      <c r="AB268" t="s">
        <v>74</v>
      </c>
      <c r="AC268" t="s">
        <v>74</v>
      </c>
      <c r="AD268" t="s">
        <v>74</v>
      </c>
      <c r="AE268" t="s">
        <v>74</v>
      </c>
      <c r="AF268" t="s">
        <v>74</v>
      </c>
      <c r="AG268">
        <v>5</v>
      </c>
      <c r="AH268">
        <v>3</v>
      </c>
      <c r="AI268">
        <v>3</v>
      </c>
      <c r="AJ268">
        <v>0</v>
      </c>
      <c r="AK268">
        <v>0</v>
      </c>
      <c r="AL268" t="s">
        <v>88</v>
      </c>
      <c r="AM268" t="s">
        <v>89</v>
      </c>
      <c r="AN268" t="s">
        <v>90</v>
      </c>
      <c r="AO268" t="s">
        <v>91</v>
      </c>
      <c r="AP268" t="s">
        <v>92</v>
      </c>
      <c r="AQ268" t="s">
        <v>74</v>
      </c>
      <c r="AR268" t="s">
        <v>93</v>
      </c>
      <c r="AS268" t="s">
        <v>94</v>
      </c>
      <c r="AT268" t="s">
        <v>95</v>
      </c>
      <c r="AU268">
        <v>2008</v>
      </c>
      <c r="AV268">
        <v>43</v>
      </c>
      <c r="AW268">
        <v>7</v>
      </c>
      <c r="AX268" t="s">
        <v>74</v>
      </c>
      <c r="AY268" t="s">
        <v>96</v>
      </c>
      <c r="AZ268" t="s">
        <v>74</v>
      </c>
      <c r="BA268" t="s">
        <v>74</v>
      </c>
      <c r="BB268" t="s">
        <v>2243</v>
      </c>
      <c r="BC268" t="s">
        <v>2243</v>
      </c>
      <c r="BD268" t="s">
        <v>74</v>
      </c>
      <c r="BE268" t="s">
        <v>74</v>
      </c>
      <c r="BF268" t="s">
        <v>74</v>
      </c>
      <c r="BG268" t="s">
        <v>74</v>
      </c>
      <c r="BH268" t="s">
        <v>74</v>
      </c>
      <c r="BI268">
        <v>1</v>
      </c>
      <c r="BJ268" t="s">
        <v>98</v>
      </c>
      <c r="BK268" t="s">
        <v>99</v>
      </c>
      <c r="BL268" t="s">
        <v>98</v>
      </c>
      <c r="BM268" t="s">
        <v>100</v>
      </c>
      <c r="BN268" t="s">
        <v>74</v>
      </c>
      <c r="BO268" t="s">
        <v>74</v>
      </c>
      <c r="BP268" t="s">
        <v>74</v>
      </c>
      <c r="BQ268" t="s">
        <v>74</v>
      </c>
      <c r="BR268" t="s">
        <v>101</v>
      </c>
      <c r="BS268" t="s">
        <v>2251</v>
      </c>
      <c r="BT268" t="str">
        <f>HYPERLINK("https%3A%2F%2Fwww.webofscience.com%2Fwos%2Fwoscc%2Ffull-record%2FWOS:000257683100278","View Full Record in Web of Science")</f>
        <v>View Full Record in Web of Science</v>
      </c>
    </row>
    <row r="269" spans="1:72" x14ac:dyDescent="0.15">
      <c r="A269" t="s">
        <v>72</v>
      </c>
      <c r="B269" t="s">
        <v>2252</v>
      </c>
      <c r="C269" t="s">
        <v>74</v>
      </c>
      <c r="D269" t="s">
        <v>74</v>
      </c>
      <c r="E269" t="s">
        <v>74</v>
      </c>
      <c r="F269" t="s">
        <v>2253</v>
      </c>
      <c r="G269" t="s">
        <v>74</v>
      </c>
      <c r="H269" t="s">
        <v>74</v>
      </c>
      <c r="I269" t="s">
        <v>2254</v>
      </c>
      <c r="J269" t="s">
        <v>77</v>
      </c>
      <c r="K269" t="s">
        <v>74</v>
      </c>
      <c r="L269" t="s">
        <v>74</v>
      </c>
      <c r="M269" t="s">
        <v>78</v>
      </c>
      <c r="N269" t="s">
        <v>52</v>
      </c>
      <c r="O269" t="s">
        <v>79</v>
      </c>
      <c r="P269" t="s">
        <v>80</v>
      </c>
      <c r="Q269" t="s">
        <v>81</v>
      </c>
      <c r="R269" t="s">
        <v>74</v>
      </c>
      <c r="S269" t="s">
        <v>82</v>
      </c>
      <c r="T269" t="s">
        <v>74</v>
      </c>
      <c r="U269" t="s">
        <v>74</v>
      </c>
      <c r="V269" t="s">
        <v>74</v>
      </c>
      <c r="W269" t="s">
        <v>2255</v>
      </c>
      <c r="X269" t="s">
        <v>1131</v>
      </c>
      <c r="Y269" t="s">
        <v>74</v>
      </c>
      <c r="Z269" t="s">
        <v>2256</v>
      </c>
      <c r="AA269" t="s">
        <v>2257</v>
      </c>
      <c r="AB269" t="s">
        <v>74</v>
      </c>
      <c r="AC269" t="s">
        <v>74</v>
      </c>
      <c r="AD269" t="s">
        <v>74</v>
      </c>
      <c r="AE269" t="s">
        <v>74</v>
      </c>
      <c r="AF269" t="s">
        <v>74</v>
      </c>
      <c r="AG269">
        <v>2</v>
      </c>
      <c r="AH269">
        <v>0</v>
      </c>
      <c r="AI269">
        <v>0</v>
      </c>
      <c r="AJ269">
        <v>0</v>
      </c>
      <c r="AK269">
        <v>0</v>
      </c>
      <c r="AL269" t="s">
        <v>109</v>
      </c>
      <c r="AM269" t="s">
        <v>110</v>
      </c>
      <c r="AN269" t="s">
        <v>111</v>
      </c>
      <c r="AO269" t="s">
        <v>91</v>
      </c>
      <c r="AP269" t="s">
        <v>74</v>
      </c>
      <c r="AQ269" t="s">
        <v>74</v>
      </c>
      <c r="AR269" t="s">
        <v>93</v>
      </c>
      <c r="AS269" t="s">
        <v>94</v>
      </c>
      <c r="AT269" t="s">
        <v>95</v>
      </c>
      <c r="AU269">
        <v>2008</v>
      </c>
      <c r="AV269">
        <v>43</v>
      </c>
      <c r="AW269">
        <v>7</v>
      </c>
      <c r="AX269" t="s">
        <v>74</v>
      </c>
      <c r="AY269" t="s">
        <v>96</v>
      </c>
      <c r="AZ269" t="s">
        <v>74</v>
      </c>
      <c r="BA269" t="s">
        <v>74</v>
      </c>
      <c r="BB269" t="s">
        <v>2258</v>
      </c>
      <c r="BC269" t="s">
        <v>2258</v>
      </c>
      <c r="BD269" t="s">
        <v>74</v>
      </c>
      <c r="BE269" t="s">
        <v>74</v>
      </c>
      <c r="BF269" t="s">
        <v>74</v>
      </c>
      <c r="BG269" t="s">
        <v>74</v>
      </c>
      <c r="BH269" t="s">
        <v>74</v>
      </c>
      <c r="BI269">
        <v>1</v>
      </c>
      <c r="BJ269" t="s">
        <v>98</v>
      </c>
      <c r="BK269" t="s">
        <v>113</v>
      </c>
      <c r="BL269" t="s">
        <v>98</v>
      </c>
      <c r="BM269" t="s">
        <v>100</v>
      </c>
      <c r="BN269" t="s">
        <v>74</v>
      </c>
      <c r="BO269" t="s">
        <v>74</v>
      </c>
      <c r="BP269" t="s">
        <v>74</v>
      </c>
      <c r="BQ269" t="s">
        <v>74</v>
      </c>
      <c r="BR269" t="s">
        <v>101</v>
      </c>
      <c r="BS269" t="s">
        <v>2259</v>
      </c>
      <c r="BT269" t="str">
        <f>HYPERLINK("https%3A%2F%2Fwww.webofscience.com%2Fwos%2Fwoscc%2Ffull-record%2FWOS:000257683100279","View Full Record in Web of Science")</f>
        <v>View Full Record in Web of Science</v>
      </c>
    </row>
    <row r="270" spans="1:72" x14ac:dyDescent="0.15">
      <c r="A270" t="s">
        <v>72</v>
      </c>
      <c r="B270" t="s">
        <v>2260</v>
      </c>
      <c r="C270" t="s">
        <v>74</v>
      </c>
      <c r="D270" t="s">
        <v>74</v>
      </c>
      <c r="E270" t="s">
        <v>74</v>
      </c>
      <c r="F270" t="s">
        <v>2261</v>
      </c>
      <c r="G270" t="s">
        <v>74</v>
      </c>
      <c r="H270" t="s">
        <v>74</v>
      </c>
      <c r="I270" t="s">
        <v>2262</v>
      </c>
      <c r="J270" t="s">
        <v>77</v>
      </c>
      <c r="K270" t="s">
        <v>74</v>
      </c>
      <c r="L270" t="s">
        <v>74</v>
      </c>
      <c r="M270" t="s">
        <v>78</v>
      </c>
      <c r="N270" t="s">
        <v>52</v>
      </c>
      <c r="O270" t="s">
        <v>79</v>
      </c>
      <c r="P270" t="s">
        <v>80</v>
      </c>
      <c r="Q270" t="s">
        <v>81</v>
      </c>
      <c r="R270" t="s">
        <v>74</v>
      </c>
      <c r="S270" t="s">
        <v>82</v>
      </c>
      <c r="T270" t="s">
        <v>74</v>
      </c>
      <c r="U270" t="s">
        <v>2263</v>
      </c>
      <c r="V270" t="s">
        <v>74</v>
      </c>
      <c r="W270" t="s">
        <v>2264</v>
      </c>
      <c r="X270" t="s">
        <v>595</v>
      </c>
      <c r="Y270" t="s">
        <v>74</v>
      </c>
      <c r="Z270" t="s">
        <v>2265</v>
      </c>
      <c r="AA270" t="s">
        <v>74</v>
      </c>
      <c r="AB270" t="s">
        <v>74</v>
      </c>
      <c r="AC270" t="s">
        <v>74</v>
      </c>
      <c r="AD270" t="s">
        <v>74</v>
      </c>
      <c r="AE270" t="s">
        <v>74</v>
      </c>
      <c r="AF270" t="s">
        <v>74</v>
      </c>
      <c r="AG270">
        <v>4</v>
      </c>
      <c r="AH270">
        <v>1</v>
      </c>
      <c r="AI270">
        <v>1</v>
      </c>
      <c r="AJ270">
        <v>0</v>
      </c>
      <c r="AK270">
        <v>0</v>
      </c>
      <c r="AL270" t="s">
        <v>88</v>
      </c>
      <c r="AM270" t="s">
        <v>89</v>
      </c>
      <c r="AN270" t="s">
        <v>90</v>
      </c>
      <c r="AO270" t="s">
        <v>91</v>
      </c>
      <c r="AP270" t="s">
        <v>92</v>
      </c>
      <c r="AQ270" t="s">
        <v>74</v>
      </c>
      <c r="AR270" t="s">
        <v>93</v>
      </c>
      <c r="AS270" t="s">
        <v>94</v>
      </c>
      <c r="AT270" t="s">
        <v>95</v>
      </c>
      <c r="AU270">
        <v>2008</v>
      </c>
      <c r="AV270">
        <v>43</v>
      </c>
      <c r="AW270">
        <v>7</v>
      </c>
      <c r="AX270" t="s">
        <v>74</v>
      </c>
      <c r="AY270" t="s">
        <v>96</v>
      </c>
      <c r="AZ270" t="s">
        <v>74</v>
      </c>
      <c r="BA270" t="s">
        <v>74</v>
      </c>
      <c r="BB270" t="s">
        <v>2258</v>
      </c>
      <c r="BC270" t="s">
        <v>2258</v>
      </c>
      <c r="BD270" t="s">
        <v>74</v>
      </c>
      <c r="BE270" t="s">
        <v>74</v>
      </c>
      <c r="BF270" t="s">
        <v>74</v>
      </c>
      <c r="BG270" t="s">
        <v>74</v>
      </c>
      <c r="BH270" t="s">
        <v>74</v>
      </c>
      <c r="BI270">
        <v>1</v>
      </c>
      <c r="BJ270" t="s">
        <v>98</v>
      </c>
      <c r="BK270" t="s">
        <v>99</v>
      </c>
      <c r="BL270" t="s">
        <v>98</v>
      </c>
      <c r="BM270" t="s">
        <v>100</v>
      </c>
      <c r="BN270" t="s">
        <v>74</v>
      </c>
      <c r="BO270" t="s">
        <v>74</v>
      </c>
      <c r="BP270" t="s">
        <v>74</v>
      </c>
      <c r="BQ270" t="s">
        <v>74</v>
      </c>
      <c r="BR270" t="s">
        <v>101</v>
      </c>
      <c r="BS270" t="s">
        <v>2266</v>
      </c>
      <c r="BT270" t="str">
        <f>HYPERLINK("https%3A%2F%2Fwww.webofscience.com%2Fwos%2Fwoscc%2Ffull-record%2FWOS:000257683100280","View Full Record in Web of Science")</f>
        <v>View Full Record in Web of Science</v>
      </c>
    </row>
    <row r="271" spans="1:72" x14ac:dyDescent="0.15">
      <c r="A271" t="s">
        <v>72</v>
      </c>
      <c r="B271" t="s">
        <v>2267</v>
      </c>
      <c r="C271" t="s">
        <v>74</v>
      </c>
      <c r="D271" t="s">
        <v>74</v>
      </c>
      <c r="E271" t="s">
        <v>74</v>
      </c>
      <c r="F271" t="s">
        <v>2268</v>
      </c>
      <c r="G271" t="s">
        <v>74</v>
      </c>
      <c r="H271" t="s">
        <v>74</v>
      </c>
      <c r="I271" t="s">
        <v>2269</v>
      </c>
      <c r="J271" t="s">
        <v>77</v>
      </c>
      <c r="K271" t="s">
        <v>74</v>
      </c>
      <c r="L271" t="s">
        <v>74</v>
      </c>
      <c r="M271" t="s">
        <v>78</v>
      </c>
      <c r="N271" t="s">
        <v>52</v>
      </c>
      <c r="O271" t="s">
        <v>79</v>
      </c>
      <c r="P271" t="s">
        <v>80</v>
      </c>
      <c r="Q271" t="s">
        <v>81</v>
      </c>
      <c r="R271" t="s">
        <v>74</v>
      </c>
      <c r="S271" t="s">
        <v>82</v>
      </c>
      <c r="T271" t="s">
        <v>74</v>
      </c>
      <c r="U271" t="s">
        <v>2270</v>
      </c>
      <c r="V271" t="s">
        <v>74</v>
      </c>
      <c r="W271" t="s">
        <v>2271</v>
      </c>
      <c r="X271" t="s">
        <v>2272</v>
      </c>
      <c r="Y271" t="s">
        <v>74</v>
      </c>
      <c r="Z271" t="s">
        <v>2273</v>
      </c>
      <c r="AA271" t="s">
        <v>74</v>
      </c>
      <c r="AB271" t="s">
        <v>74</v>
      </c>
      <c r="AC271" t="s">
        <v>74</v>
      </c>
      <c r="AD271" t="s">
        <v>74</v>
      </c>
      <c r="AE271" t="s">
        <v>74</v>
      </c>
      <c r="AF271" t="s">
        <v>74</v>
      </c>
      <c r="AG271">
        <v>6</v>
      </c>
      <c r="AH271">
        <v>0</v>
      </c>
      <c r="AI271">
        <v>0</v>
      </c>
      <c r="AJ271">
        <v>0</v>
      </c>
      <c r="AK271">
        <v>0</v>
      </c>
      <c r="AL271" t="s">
        <v>109</v>
      </c>
      <c r="AM271" t="s">
        <v>110</v>
      </c>
      <c r="AN271" t="s">
        <v>111</v>
      </c>
      <c r="AO271" t="s">
        <v>91</v>
      </c>
      <c r="AP271" t="s">
        <v>74</v>
      </c>
      <c r="AQ271" t="s">
        <v>74</v>
      </c>
      <c r="AR271" t="s">
        <v>93</v>
      </c>
      <c r="AS271" t="s">
        <v>94</v>
      </c>
      <c r="AT271" t="s">
        <v>95</v>
      </c>
      <c r="AU271">
        <v>2008</v>
      </c>
      <c r="AV271">
        <v>43</v>
      </c>
      <c r="AW271">
        <v>7</v>
      </c>
      <c r="AX271" t="s">
        <v>74</v>
      </c>
      <c r="AY271" t="s">
        <v>96</v>
      </c>
      <c r="AZ271" t="s">
        <v>74</v>
      </c>
      <c r="BA271" t="s">
        <v>74</v>
      </c>
      <c r="BB271" t="s">
        <v>2274</v>
      </c>
      <c r="BC271" t="s">
        <v>2274</v>
      </c>
      <c r="BD271" t="s">
        <v>74</v>
      </c>
      <c r="BE271" t="s">
        <v>74</v>
      </c>
      <c r="BF271" t="s">
        <v>74</v>
      </c>
      <c r="BG271" t="s">
        <v>74</v>
      </c>
      <c r="BH271" t="s">
        <v>74</v>
      </c>
      <c r="BI271">
        <v>1</v>
      </c>
      <c r="BJ271" t="s">
        <v>98</v>
      </c>
      <c r="BK271" t="s">
        <v>113</v>
      </c>
      <c r="BL271" t="s">
        <v>98</v>
      </c>
      <c r="BM271" t="s">
        <v>100</v>
      </c>
      <c r="BN271" t="s">
        <v>74</v>
      </c>
      <c r="BO271" t="s">
        <v>74</v>
      </c>
      <c r="BP271" t="s">
        <v>74</v>
      </c>
      <c r="BQ271" t="s">
        <v>74</v>
      </c>
      <c r="BR271" t="s">
        <v>101</v>
      </c>
      <c r="BS271" t="s">
        <v>2275</v>
      </c>
      <c r="BT271" t="str">
        <f>HYPERLINK("https%3A%2F%2Fwww.webofscience.com%2Fwos%2Fwoscc%2Ffull-record%2FWOS:000257683100281","View Full Record in Web of Science")</f>
        <v>View Full Record in Web of Science</v>
      </c>
    </row>
    <row r="272" spans="1:72" x14ac:dyDescent="0.15">
      <c r="A272" t="s">
        <v>72</v>
      </c>
      <c r="B272" t="s">
        <v>2267</v>
      </c>
      <c r="C272" t="s">
        <v>74</v>
      </c>
      <c r="D272" t="s">
        <v>74</v>
      </c>
      <c r="E272" t="s">
        <v>74</v>
      </c>
      <c r="F272" t="s">
        <v>2276</v>
      </c>
      <c r="G272" t="s">
        <v>74</v>
      </c>
      <c r="H272" t="s">
        <v>74</v>
      </c>
      <c r="I272" t="s">
        <v>2277</v>
      </c>
      <c r="J272" t="s">
        <v>77</v>
      </c>
      <c r="K272" t="s">
        <v>74</v>
      </c>
      <c r="L272" t="s">
        <v>74</v>
      </c>
      <c r="M272" t="s">
        <v>78</v>
      </c>
      <c r="N272" t="s">
        <v>52</v>
      </c>
      <c r="O272" t="s">
        <v>79</v>
      </c>
      <c r="P272" t="s">
        <v>80</v>
      </c>
      <c r="Q272" t="s">
        <v>81</v>
      </c>
      <c r="R272" t="s">
        <v>74</v>
      </c>
      <c r="S272" t="s">
        <v>82</v>
      </c>
      <c r="T272" t="s">
        <v>74</v>
      </c>
      <c r="U272" t="s">
        <v>2278</v>
      </c>
      <c r="V272" t="s">
        <v>74</v>
      </c>
      <c r="W272" t="s">
        <v>2279</v>
      </c>
      <c r="X272" t="s">
        <v>2272</v>
      </c>
      <c r="Y272" t="s">
        <v>74</v>
      </c>
      <c r="Z272" t="s">
        <v>2273</v>
      </c>
      <c r="AA272" t="s">
        <v>74</v>
      </c>
      <c r="AB272" t="s">
        <v>74</v>
      </c>
      <c r="AC272" t="s">
        <v>74</v>
      </c>
      <c r="AD272" t="s">
        <v>74</v>
      </c>
      <c r="AE272" t="s">
        <v>74</v>
      </c>
      <c r="AF272" t="s">
        <v>74</v>
      </c>
      <c r="AG272">
        <v>4</v>
      </c>
      <c r="AH272">
        <v>1</v>
      </c>
      <c r="AI272">
        <v>1</v>
      </c>
      <c r="AJ272">
        <v>0</v>
      </c>
      <c r="AK272">
        <v>0</v>
      </c>
      <c r="AL272" t="s">
        <v>109</v>
      </c>
      <c r="AM272" t="s">
        <v>110</v>
      </c>
      <c r="AN272" t="s">
        <v>111</v>
      </c>
      <c r="AO272" t="s">
        <v>91</v>
      </c>
      <c r="AP272" t="s">
        <v>74</v>
      </c>
      <c r="AQ272" t="s">
        <v>74</v>
      </c>
      <c r="AR272" t="s">
        <v>93</v>
      </c>
      <c r="AS272" t="s">
        <v>94</v>
      </c>
      <c r="AT272" t="s">
        <v>95</v>
      </c>
      <c r="AU272">
        <v>2008</v>
      </c>
      <c r="AV272">
        <v>43</v>
      </c>
      <c r="AW272">
        <v>7</v>
      </c>
      <c r="AX272" t="s">
        <v>74</v>
      </c>
      <c r="AY272" t="s">
        <v>96</v>
      </c>
      <c r="AZ272" t="s">
        <v>74</v>
      </c>
      <c r="BA272" t="s">
        <v>74</v>
      </c>
      <c r="BB272" t="s">
        <v>2280</v>
      </c>
      <c r="BC272" t="s">
        <v>2280</v>
      </c>
      <c r="BD272" t="s">
        <v>74</v>
      </c>
      <c r="BE272" t="s">
        <v>74</v>
      </c>
      <c r="BF272" t="s">
        <v>74</v>
      </c>
      <c r="BG272" t="s">
        <v>74</v>
      </c>
      <c r="BH272" t="s">
        <v>74</v>
      </c>
      <c r="BI272">
        <v>1</v>
      </c>
      <c r="BJ272" t="s">
        <v>98</v>
      </c>
      <c r="BK272" t="s">
        <v>113</v>
      </c>
      <c r="BL272" t="s">
        <v>98</v>
      </c>
      <c r="BM272" t="s">
        <v>100</v>
      </c>
      <c r="BN272" t="s">
        <v>74</v>
      </c>
      <c r="BO272" t="s">
        <v>74</v>
      </c>
      <c r="BP272" t="s">
        <v>74</v>
      </c>
      <c r="BQ272" t="s">
        <v>74</v>
      </c>
      <c r="BR272" t="s">
        <v>101</v>
      </c>
      <c r="BS272" t="s">
        <v>2281</v>
      </c>
      <c r="BT272" t="str">
        <f>HYPERLINK("https%3A%2F%2Fwww.webofscience.com%2Fwos%2Fwoscc%2Ffull-record%2FWOS:000257683100356","View Full Record in Web of Science")</f>
        <v>View Full Record in Web of Science</v>
      </c>
    </row>
    <row r="273" spans="1:72" x14ac:dyDescent="0.15">
      <c r="A273" t="s">
        <v>72</v>
      </c>
      <c r="B273" t="s">
        <v>2282</v>
      </c>
      <c r="C273" t="s">
        <v>74</v>
      </c>
      <c r="D273" t="s">
        <v>74</v>
      </c>
      <c r="E273" t="s">
        <v>74</v>
      </c>
      <c r="F273" t="s">
        <v>2283</v>
      </c>
      <c r="G273" t="s">
        <v>74</v>
      </c>
      <c r="H273" t="s">
        <v>74</v>
      </c>
      <c r="I273" t="s">
        <v>2284</v>
      </c>
      <c r="J273" t="s">
        <v>77</v>
      </c>
      <c r="K273" t="s">
        <v>74</v>
      </c>
      <c r="L273" t="s">
        <v>74</v>
      </c>
      <c r="M273" t="s">
        <v>78</v>
      </c>
      <c r="N273" t="s">
        <v>52</v>
      </c>
      <c r="O273" t="s">
        <v>79</v>
      </c>
      <c r="P273" t="s">
        <v>80</v>
      </c>
      <c r="Q273" t="s">
        <v>81</v>
      </c>
      <c r="R273" t="s">
        <v>74</v>
      </c>
      <c r="S273" t="s">
        <v>82</v>
      </c>
      <c r="T273" t="s">
        <v>74</v>
      </c>
      <c r="U273" t="s">
        <v>2285</v>
      </c>
      <c r="V273" t="s">
        <v>74</v>
      </c>
      <c r="W273" t="s">
        <v>2286</v>
      </c>
      <c r="X273" t="s">
        <v>2287</v>
      </c>
      <c r="Y273" t="s">
        <v>74</v>
      </c>
      <c r="Z273" t="s">
        <v>2288</v>
      </c>
      <c r="AA273" t="s">
        <v>74</v>
      </c>
      <c r="AB273" t="s">
        <v>74</v>
      </c>
      <c r="AC273" t="s">
        <v>74</v>
      </c>
      <c r="AD273" t="s">
        <v>74</v>
      </c>
      <c r="AE273" t="s">
        <v>74</v>
      </c>
      <c r="AF273" t="s">
        <v>74</v>
      </c>
      <c r="AG273">
        <v>4</v>
      </c>
      <c r="AH273">
        <v>0</v>
      </c>
      <c r="AI273">
        <v>0</v>
      </c>
      <c r="AJ273">
        <v>0</v>
      </c>
      <c r="AK273">
        <v>1</v>
      </c>
      <c r="AL273" t="s">
        <v>109</v>
      </c>
      <c r="AM273" t="s">
        <v>110</v>
      </c>
      <c r="AN273" t="s">
        <v>111</v>
      </c>
      <c r="AO273" t="s">
        <v>91</v>
      </c>
      <c r="AP273" t="s">
        <v>74</v>
      </c>
      <c r="AQ273" t="s">
        <v>74</v>
      </c>
      <c r="AR273" t="s">
        <v>93</v>
      </c>
      <c r="AS273" t="s">
        <v>94</v>
      </c>
      <c r="AT273" t="s">
        <v>95</v>
      </c>
      <c r="AU273">
        <v>2008</v>
      </c>
      <c r="AV273">
        <v>43</v>
      </c>
      <c r="AW273">
        <v>7</v>
      </c>
      <c r="AX273" t="s">
        <v>74</v>
      </c>
      <c r="AY273" t="s">
        <v>96</v>
      </c>
      <c r="AZ273" t="s">
        <v>74</v>
      </c>
      <c r="BA273" t="s">
        <v>74</v>
      </c>
      <c r="BB273" t="s">
        <v>2280</v>
      </c>
      <c r="BC273" t="s">
        <v>2280</v>
      </c>
      <c r="BD273" t="s">
        <v>74</v>
      </c>
      <c r="BE273" t="s">
        <v>74</v>
      </c>
      <c r="BF273" t="s">
        <v>74</v>
      </c>
      <c r="BG273" t="s">
        <v>74</v>
      </c>
      <c r="BH273" t="s">
        <v>74</v>
      </c>
      <c r="BI273">
        <v>1</v>
      </c>
      <c r="BJ273" t="s">
        <v>98</v>
      </c>
      <c r="BK273" t="s">
        <v>113</v>
      </c>
      <c r="BL273" t="s">
        <v>98</v>
      </c>
      <c r="BM273" t="s">
        <v>100</v>
      </c>
      <c r="BN273" t="s">
        <v>74</v>
      </c>
      <c r="BO273" t="s">
        <v>74</v>
      </c>
      <c r="BP273" t="s">
        <v>74</v>
      </c>
      <c r="BQ273" t="s">
        <v>74</v>
      </c>
      <c r="BR273" t="s">
        <v>101</v>
      </c>
      <c r="BS273" t="s">
        <v>2289</v>
      </c>
      <c r="BT273" t="str">
        <f>HYPERLINK("https%3A%2F%2Fwww.webofscience.com%2Fwos%2Fwoscc%2Ffull-record%2FWOS:000257683100357","View Full Record in Web of Science")</f>
        <v>View Full Record in Web of Science</v>
      </c>
    </row>
    <row r="274" spans="1:72" x14ac:dyDescent="0.15">
      <c r="A274" t="s">
        <v>72</v>
      </c>
      <c r="B274" t="s">
        <v>2290</v>
      </c>
      <c r="C274" t="s">
        <v>74</v>
      </c>
      <c r="D274" t="s">
        <v>74</v>
      </c>
      <c r="E274" t="s">
        <v>74</v>
      </c>
      <c r="F274" t="s">
        <v>2291</v>
      </c>
      <c r="G274" t="s">
        <v>74</v>
      </c>
      <c r="H274" t="s">
        <v>74</v>
      </c>
      <c r="I274" t="s">
        <v>2292</v>
      </c>
      <c r="J274" t="s">
        <v>77</v>
      </c>
      <c r="K274" t="s">
        <v>74</v>
      </c>
      <c r="L274" t="s">
        <v>74</v>
      </c>
      <c r="M274" t="s">
        <v>78</v>
      </c>
      <c r="N274" t="s">
        <v>52</v>
      </c>
      <c r="O274" t="s">
        <v>79</v>
      </c>
      <c r="P274" t="s">
        <v>80</v>
      </c>
      <c r="Q274" t="s">
        <v>81</v>
      </c>
      <c r="R274" t="s">
        <v>74</v>
      </c>
      <c r="S274" t="s">
        <v>82</v>
      </c>
      <c r="T274" t="s">
        <v>74</v>
      </c>
      <c r="U274" t="s">
        <v>74</v>
      </c>
      <c r="V274" t="s">
        <v>74</v>
      </c>
      <c r="W274" t="s">
        <v>2293</v>
      </c>
      <c r="X274" t="s">
        <v>561</v>
      </c>
      <c r="Y274" t="s">
        <v>74</v>
      </c>
      <c r="Z274" t="s">
        <v>2294</v>
      </c>
      <c r="AA274" t="s">
        <v>74</v>
      </c>
      <c r="AB274" t="s">
        <v>74</v>
      </c>
      <c r="AC274" t="s">
        <v>74</v>
      </c>
      <c r="AD274" t="s">
        <v>74</v>
      </c>
      <c r="AE274" t="s">
        <v>74</v>
      </c>
      <c r="AF274" t="s">
        <v>74</v>
      </c>
      <c r="AG274">
        <v>2</v>
      </c>
      <c r="AH274">
        <v>1</v>
      </c>
      <c r="AI274">
        <v>1</v>
      </c>
      <c r="AJ274">
        <v>0</v>
      </c>
      <c r="AK274">
        <v>0</v>
      </c>
      <c r="AL274" t="s">
        <v>109</v>
      </c>
      <c r="AM274" t="s">
        <v>110</v>
      </c>
      <c r="AN274" t="s">
        <v>111</v>
      </c>
      <c r="AO274" t="s">
        <v>91</v>
      </c>
      <c r="AP274" t="s">
        <v>74</v>
      </c>
      <c r="AQ274" t="s">
        <v>74</v>
      </c>
      <c r="AR274" t="s">
        <v>93</v>
      </c>
      <c r="AS274" t="s">
        <v>94</v>
      </c>
      <c r="AT274" t="s">
        <v>95</v>
      </c>
      <c r="AU274">
        <v>2008</v>
      </c>
      <c r="AV274">
        <v>43</v>
      </c>
      <c r="AW274">
        <v>7</v>
      </c>
      <c r="AX274" t="s">
        <v>74</v>
      </c>
      <c r="AY274" t="s">
        <v>96</v>
      </c>
      <c r="AZ274" t="s">
        <v>74</v>
      </c>
      <c r="BA274" t="s">
        <v>74</v>
      </c>
      <c r="BB274" t="s">
        <v>2274</v>
      </c>
      <c r="BC274" t="s">
        <v>2274</v>
      </c>
      <c r="BD274" t="s">
        <v>74</v>
      </c>
      <c r="BE274" t="s">
        <v>74</v>
      </c>
      <c r="BF274" t="s">
        <v>74</v>
      </c>
      <c r="BG274" t="s">
        <v>74</v>
      </c>
      <c r="BH274" t="s">
        <v>74</v>
      </c>
      <c r="BI274">
        <v>1</v>
      </c>
      <c r="BJ274" t="s">
        <v>98</v>
      </c>
      <c r="BK274" t="s">
        <v>113</v>
      </c>
      <c r="BL274" t="s">
        <v>98</v>
      </c>
      <c r="BM274" t="s">
        <v>100</v>
      </c>
      <c r="BN274" t="s">
        <v>74</v>
      </c>
      <c r="BO274" t="s">
        <v>74</v>
      </c>
      <c r="BP274" t="s">
        <v>74</v>
      </c>
      <c r="BQ274" t="s">
        <v>74</v>
      </c>
      <c r="BR274" t="s">
        <v>101</v>
      </c>
      <c r="BS274" t="s">
        <v>2295</v>
      </c>
      <c r="BT274" t="str">
        <f>HYPERLINK("https%3A%2F%2Fwww.webofscience.com%2Fwos%2Fwoscc%2Ffull-record%2FWOS:000257683100282","View Full Record in Web of Science")</f>
        <v>View Full Record in Web of Science</v>
      </c>
    </row>
    <row r="275" spans="1:72" x14ac:dyDescent="0.15">
      <c r="A275" t="s">
        <v>72</v>
      </c>
      <c r="B275" t="s">
        <v>2296</v>
      </c>
      <c r="C275" t="s">
        <v>74</v>
      </c>
      <c r="D275" t="s">
        <v>74</v>
      </c>
      <c r="E275" t="s">
        <v>74</v>
      </c>
      <c r="F275" t="s">
        <v>2297</v>
      </c>
      <c r="G275" t="s">
        <v>74</v>
      </c>
      <c r="H275" t="s">
        <v>74</v>
      </c>
      <c r="I275" t="s">
        <v>2298</v>
      </c>
      <c r="J275" t="s">
        <v>77</v>
      </c>
      <c r="K275" t="s">
        <v>74</v>
      </c>
      <c r="L275" t="s">
        <v>74</v>
      </c>
      <c r="M275" t="s">
        <v>78</v>
      </c>
      <c r="N275" t="s">
        <v>52</v>
      </c>
      <c r="O275" t="s">
        <v>79</v>
      </c>
      <c r="P275" t="s">
        <v>80</v>
      </c>
      <c r="Q275" t="s">
        <v>81</v>
      </c>
      <c r="R275" t="s">
        <v>74</v>
      </c>
      <c r="S275" t="s">
        <v>82</v>
      </c>
      <c r="T275" t="s">
        <v>74</v>
      </c>
      <c r="U275" t="s">
        <v>74</v>
      </c>
      <c r="V275" t="s">
        <v>74</v>
      </c>
      <c r="W275" t="s">
        <v>2299</v>
      </c>
      <c r="X275" t="s">
        <v>2300</v>
      </c>
      <c r="Y275" t="s">
        <v>74</v>
      </c>
      <c r="Z275" t="s">
        <v>2301</v>
      </c>
      <c r="AA275" t="s">
        <v>2302</v>
      </c>
      <c r="AB275" t="s">
        <v>664</v>
      </c>
      <c r="AC275" t="s">
        <v>74</v>
      </c>
      <c r="AD275" t="s">
        <v>74</v>
      </c>
      <c r="AE275" t="s">
        <v>74</v>
      </c>
      <c r="AF275" t="s">
        <v>74</v>
      </c>
      <c r="AG275">
        <v>14</v>
      </c>
      <c r="AH275">
        <v>0</v>
      </c>
      <c r="AI275">
        <v>0</v>
      </c>
      <c r="AJ275">
        <v>0</v>
      </c>
      <c r="AK275">
        <v>0</v>
      </c>
      <c r="AL275" t="s">
        <v>109</v>
      </c>
      <c r="AM275" t="s">
        <v>110</v>
      </c>
      <c r="AN275" t="s">
        <v>111</v>
      </c>
      <c r="AO275" t="s">
        <v>91</v>
      </c>
      <c r="AP275" t="s">
        <v>74</v>
      </c>
      <c r="AQ275" t="s">
        <v>74</v>
      </c>
      <c r="AR275" t="s">
        <v>93</v>
      </c>
      <c r="AS275" t="s">
        <v>94</v>
      </c>
      <c r="AT275" t="s">
        <v>95</v>
      </c>
      <c r="AU275">
        <v>2008</v>
      </c>
      <c r="AV275">
        <v>43</v>
      </c>
      <c r="AW275">
        <v>7</v>
      </c>
      <c r="AX275" t="s">
        <v>74</v>
      </c>
      <c r="AY275" t="s">
        <v>96</v>
      </c>
      <c r="AZ275" t="s">
        <v>74</v>
      </c>
      <c r="BA275" t="s">
        <v>74</v>
      </c>
      <c r="BB275" t="s">
        <v>2303</v>
      </c>
      <c r="BC275" t="s">
        <v>2303</v>
      </c>
      <c r="BD275" t="s">
        <v>74</v>
      </c>
      <c r="BE275" t="s">
        <v>74</v>
      </c>
      <c r="BF275" t="s">
        <v>74</v>
      </c>
      <c r="BG275" t="s">
        <v>74</v>
      </c>
      <c r="BH275" t="s">
        <v>74</v>
      </c>
      <c r="BI275">
        <v>1</v>
      </c>
      <c r="BJ275" t="s">
        <v>98</v>
      </c>
      <c r="BK275" t="s">
        <v>113</v>
      </c>
      <c r="BL275" t="s">
        <v>98</v>
      </c>
      <c r="BM275" t="s">
        <v>100</v>
      </c>
      <c r="BN275" t="s">
        <v>74</v>
      </c>
      <c r="BO275" t="s">
        <v>74</v>
      </c>
      <c r="BP275" t="s">
        <v>74</v>
      </c>
      <c r="BQ275" t="s">
        <v>74</v>
      </c>
      <c r="BR275" t="s">
        <v>101</v>
      </c>
      <c r="BS275" t="s">
        <v>2304</v>
      </c>
      <c r="BT275" t="str">
        <f>HYPERLINK("https%3A%2F%2Fwww.webofscience.com%2Fwos%2Fwoscc%2Ffull-record%2FWOS:000257683100283","View Full Record in Web of Science")</f>
        <v>View Full Record in Web of Science</v>
      </c>
    </row>
    <row r="276" spans="1:72" x14ac:dyDescent="0.15">
      <c r="A276" t="s">
        <v>72</v>
      </c>
      <c r="B276" t="s">
        <v>2305</v>
      </c>
      <c r="C276" t="s">
        <v>74</v>
      </c>
      <c r="D276" t="s">
        <v>74</v>
      </c>
      <c r="E276" t="s">
        <v>74</v>
      </c>
      <c r="F276" t="s">
        <v>2306</v>
      </c>
      <c r="G276" t="s">
        <v>74</v>
      </c>
      <c r="H276" t="s">
        <v>74</v>
      </c>
      <c r="I276" t="s">
        <v>2307</v>
      </c>
      <c r="J276" t="s">
        <v>77</v>
      </c>
      <c r="K276" t="s">
        <v>74</v>
      </c>
      <c r="L276" t="s">
        <v>74</v>
      </c>
      <c r="M276" t="s">
        <v>78</v>
      </c>
      <c r="N276" t="s">
        <v>52</v>
      </c>
      <c r="O276" t="s">
        <v>79</v>
      </c>
      <c r="P276" t="s">
        <v>80</v>
      </c>
      <c r="Q276" t="s">
        <v>81</v>
      </c>
      <c r="R276" t="s">
        <v>74</v>
      </c>
      <c r="S276" t="s">
        <v>82</v>
      </c>
      <c r="T276" t="s">
        <v>74</v>
      </c>
      <c r="U276" t="s">
        <v>2308</v>
      </c>
      <c r="V276" t="s">
        <v>74</v>
      </c>
      <c r="W276" t="s">
        <v>2309</v>
      </c>
      <c r="X276" t="s">
        <v>247</v>
      </c>
      <c r="Y276" t="s">
        <v>74</v>
      </c>
      <c r="Z276" t="s">
        <v>2310</v>
      </c>
      <c r="AA276" t="s">
        <v>74</v>
      </c>
      <c r="AB276" t="s">
        <v>74</v>
      </c>
      <c r="AC276" t="s">
        <v>2311</v>
      </c>
      <c r="AD276" t="s">
        <v>522</v>
      </c>
      <c r="AE276" t="s">
        <v>74</v>
      </c>
      <c r="AF276" t="s">
        <v>74</v>
      </c>
      <c r="AG276">
        <v>7</v>
      </c>
      <c r="AH276">
        <v>1</v>
      </c>
      <c r="AI276">
        <v>1</v>
      </c>
      <c r="AJ276">
        <v>0</v>
      </c>
      <c r="AK276">
        <v>4</v>
      </c>
      <c r="AL276" t="s">
        <v>149</v>
      </c>
      <c r="AM276" t="s">
        <v>150</v>
      </c>
      <c r="AN276" t="s">
        <v>151</v>
      </c>
      <c r="AO276" t="s">
        <v>91</v>
      </c>
      <c r="AP276" t="s">
        <v>74</v>
      </c>
      <c r="AQ276" t="s">
        <v>74</v>
      </c>
      <c r="AR276" t="s">
        <v>93</v>
      </c>
      <c r="AS276" t="s">
        <v>94</v>
      </c>
      <c r="AT276" t="s">
        <v>95</v>
      </c>
      <c r="AU276">
        <v>2008</v>
      </c>
      <c r="AV276">
        <v>43</v>
      </c>
      <c r="AW276">
        <v>7</v>
      </c>
      <c r="AX276" t="s">
        <v>74</v>
      </c>
      <c r="AY276" t="s">
        <v>96</v>
      </c>
      <c r="AZ276" t="s">
        <v>74</v>
      </c>
      <c r="BA276" t="s">
        <v>74</v>
      </c>
      <c r="BB276" t="s">
        <v>2303</v>
      </c>
      <c r="BC276" t="s">
        <v>2303</v>
      </c>
      <c r="BD276" t="s">
        <v>74</v>
      </c>
      <c r="BE276" t="s">
        <v>74</v>
      </c>
      <c r="BF276" t="s">
        <v>74</v>
      </c>
      <c r="BG276" t="s">
        <v>74</v>
      </c>
      <c r="BH276" t="s">
        <v>74</v>
      </c>
      <c r="BI276">
        <v>1</v>
      </c>
      <c r="BJ276" t="s">
        <v>98</v>
      </c>
      <c r="BK276" t="s">
        <v>99</v>
      </c>
      <c r="BL276" t="s">
        <v>98</v>
      </c>
      <c r="BM276" t="s">
        <v>100</v>
      </c>
      <c r="BN276" t="s">
        <v>74</v>
      </c>
      <c r="BO276" t="s">
        <v>74</v>
      </c>
      <c r="BP276" t="s">
        <v>74</v>
      </c>
      <c r="BQ276" t="s">
        <v>74</v>
      </c>
      <c r="BR276" t="s">
        <v>101</v>
      </c>
      <c r="BS276" t="s">
        <v>2312</v>
      </c>
      <c r="BT276" t="str">
        <f>HYPERLINK("https%3A%2F%2Fwww.webofscience.com%2Fwos%2Fwoscc%2Ffull-record%2FWOS:000257683100284","View Full Record in Web of Science")</f>
        <v>View Full Record in Web of Science</v>
      </c>
    </row>
    <row r="277" spans="1:72" x14ac:dyDescent="0.15">
      <c r="A277" t="s">
        <v>72</v>
      </c>
      <c r="B277" t="s">
        <v>2313</v>
      </c>
      <c r="C277" t="s">
        <v>74</v>
      </c>
      <c r="D277" t="s">
        <v>74</v>
      </c>
      <c r="E277" t="s">
        <v>74</v>
      </c>
      <c r="F277" t="s">
        <v>2314</v>
      </c>
      <c r="G277" t="s">
        <v>74</v>
      </c>
      <c r="H277" t="s">
        <v>2315</v>
      </c>
      <c r="I277" t="s">
        <v>2316</v>
      </c>
      <c r="J277" t="s">
        <v>77</v>
      </c>
      <c r="K277" t="s">
        <v>74</v>
      </c>
      <c r="L277" t="s">
        <v>74</v>
      </c>
      <c r="M277" t="s">
        <v>78</v>
      </c>
      <c r="N277" t="s">
        <v>52</v>
      </c>
      <c r="O277" t="s">
        <v>79</v>
      </c>
      <c r="P277" t="s">
        <v>80</v>
      </c>
      <c r="Q277" t="s">
        <v>81</v>
      </c>
      <c r="R277" t="s">
        <v>74</v>
      </c>
      <c r="S277" t="s">
        <v>82</v>
      </c>
      <c r="T277" t="s">
        <v>74</v>
      </c>
      <c r="U277" t="s">
        <v>2317</v>
      </c>
      <c r="V277" t="s">
        <v>74</v>
      </c>
      <c r="W277" t="s">
        <v>2318</v>
      </c>
      <c r="X277" t="s">
        <v>2319</v>
      </c>
      <c r="Y277" t="s">
        <v>74</v>
      </c>
      <c r="Z277" t="s">
        <v>74</v>
      </c>
      <c r="AA277" t="s">
        <v>74</v>
      </c>
      <c r="AB277" t="s">
        <v>74</v>
      </c>
      <c r="AC277" t="s">
        <v>74</v>
      </c>
      <c r="AD277" t="s">
        <v>74</v>
      </c>
      <c r="AE277" t="s">
        <v>74</v>
      </c>
      <c r="AF277" t="s">
        <v>74</v>
      </c>
      <c r="AG277">
        <v>3</v>
      </c>
      <c r="AH277">
        <v>0</v>
      </c>
      <c r="AI277">
        <v>0</v>
      </c>
      <c r="AJ277">
        <v>0</v>
      </c>
      <c r="AK277">
        <v>0</v>
      </c>
      <c r="AL277" t="s">
        <v>109</v>
      </c>
      <c r="AM277" t="s">
        <v>110</v>
      </c>
      <c r="AN277" t="s">
        <v>111</v>
      </c>
      <c r="AO277" t="s">
        <v>91</v>
      </c>
      <c r="AP277" t="s">
        <v>74</v>
      </c>
      <c r="AQ277" t="s">
        <v>74</v>
      </c>
      <c r="AR277" t="s">
        <v>93</v>
      </c>
      <c r="AS277" t="s">
        <v>94</v>
      </c>
      <c r="AT277" t="s">
        <v>95</v>
      </c>
      <c r="AU277">
        <v>2008</v>
      </c>
      <c r="AV277">
        <v>43</v>
      </c>
      <c r="AW277">
        <v>7</v>
      </c>
      <c r="AX277" t="s">
        <v>74</v>
      </c>
      <c r="AY277" t="s">
        <v>96</v>
      </c>
      <c r="AZ277" t="s">
        <v>74</v>
      </c>
      <c r="BA277" t="s">
        <v>74</v>
      </c>
      <c r="BB277" t="s">
        <v>2320</v>
      </c>
      <c r="BC277" t="s">
        <v>2320</v>
      </c>
      <c r="BD277" t="s">
        <v>74</v>
      </c>
      <c r="BE277" t="s">
        <v>74</v>
      </c>
      <c r="BF277" t="s">
        <v>74</v>
      </c>
      <c r="BG277" t="s">
        <v>74</v>
      </c>
      <c r="BH277" t="s">
        <v>74</v>
      </c>
      <c r="BI277">
        <v>1</v>
      </c>
      <c r="BJ277" t="s">
        <v>98</v>
      </c>
      <c r="BK277" t="s">
        <v>113</v>
      </c>
      <c r="BL277" t="s">
        <v>98</v>
      </c>
      <c r="BM277" t="s">
        <v>100</v>
      </c>
      <c r="BN277" t="s">
        <v>74</v>
      </c>
      <c r="BO277" t="s">
        <v>74</v>
      </c>
      <c r="BP277" t="s">
        <v>74</v>
      </c>
      <c r="BQ277" t="s">
        <v>74</v>
      </c>
      <c r="BR277" t="s">
        <v>101</v>
      </c>
      <c r="BS277" t="s">
        <v>2321</v>
      </c>
      <c r="BT277" t="str">
        <f>HYPERLINK("https%3A%2F%2Fwww.webofscience.com%2Fwos%2Fwoscc%2Ffull-record%2FWOS:000257683100285","View Full Record in Web of Science")</f>
        <v>View Full Record in Web of Science</v>
      </c>
    </row>
    <row r="278" spans="1:72" x14ac:dyDescent="0.15">
      <c r="A278" t="s">
        <v>72</v>
      </c>
      <c r="B278" t="s">
        <v>2322</v>
      </c>
      <c r="C278" t="s">
        <v>74</v>
      </c>
      <c r="D278" t="s">
        <v>74</v>
      </c>
      <c r="E278" t="s">
        <v>74</v>
      </c>
      <c r="F278" t="s">
        <v>2323</v>
      </c>
      <c r="G278" t="s">
        <v>74</v>
      </c>
      <c r="H278" t="s">
        <v>74</v>
      </c>
      <c r="I278" t="s">
        <v>2324</v>
      </c>
      <c r="J278" t="s">
        <v>77</v>
      </c>
      <c r="K278" t="s">
        <v>74</v>
      </c>
      <c r="L278" t="s">
        <v>74</v>
      </c>
      <c r="M278" t="s">
        <v>78</v>
      </c>
      <c r="N278" t="s">
        <v>52</v>
      </c>
      <c r="O278" t="s">
        <v>79</v>
      </c>
      <c r="P278" t="s">
        <v>80</v>
      </c>
      <c r="Q278" t="s">
        <v>81</v>
      </c>
      <c r="R278" t="s">
        <v>74</v>
      </c>
      <c r="S278" t="s">
        <v>82</v>
      </c>
      <c r="T278" t="s">
        <v>74</v>
      </c>
      <c r="U278" t="s">
        <v>74</v>
      </c>
      <c r="V278" t="s">
        <v>74</v>
      </c>
      <c r="W278" t="s">
        <v>2325</v>
      </c>
      <c r="X278" t="s">
        <v>595</v>
      </c>
      <c r="Y278" t="s">
        <v>74</v>
      </c>
      <c r="Z278" t="s">
        <v>2326</v>
      </c>
      <c r="AA278" t="s">
        <v>74</v>
      </c>
      <c r="AB278" t="s">
        <v>74</v>
      </c>
      <c r="AC278" t="s">
        <v>74</v>
      </c>
      <c r="AD278" t="s">
        <v>74</v>
      </c>
      <c r="AE278" t="s">
        <v>74</v>
      </c>
      <c r="AF278" t="s">
        <v>74</v>
      </c>
      <c r="AG278">
        <v>4</v>
      </c>
      <c r="AH278">
        <v>0</v>
      </c>
      <c r="AI278">
        <v>0</v>
      </c>
      <c r="AJ278">
        <v>0</v>
      </c>
      <c r="AK278">
        <v>0</v>
      </c>
      <c r="AL278" t="s">
        <v>149</v>
      </c>
      <c r="AM278" t="s">
        <v>150</v>
      </c>
      <c r="AN278" t="s">
        <v>151</v>
      </c>
      <c r="AO278" t="s">
        <v>91</v>
      </c>
      <c r="AP278" t="s">
        <v>74</v>
      </c>
      <c r="AQ278" t="s">
        <v>74</v>
      </c>
      <c r="AR278" t="s">
        <v>93</v>
      </c>
      <c r="AS278" t="s">
        <v>94</v>
      </c>
      <c r="AT278" t="s">
        <v>95</v>
      </c>
      <c r="AU278">
        <v>2008</v>
      </c>
      <c r="AV278">
        <v>43</v>
      </c>
      <c r="AW278">
        <v>7</v>
      </c>
      <c r="AX278" t="s">
        <v>74</v>
      </c>
      <c r="AY278" t="s">
        <v>96</v>
      </c>
      <c r="AZ278" t="s">
        <v>74</v>
      </c>
      <c r="BA278" t="s">
        <v>74</v>
      </c>
      <c r="BB278" t="s">
        <v>2320</v>
      </c>
      <c r="BC278" t="s">
        <v>2320</v>
      </c>
      <c r="BD278" t="s">
        <v>74</v>
      </c>
      <c r="BE278" t="s">
        <v>74</v>
      </c>
      <c r="BF278" t="s">
        <v>74</v>
      </c>
      <c r="BG278" t="s">
        <v>74</v>
      </c>
      <c r="BH278" t="s">
        <v>74</v>
      </c>
      <c r="BI278">
        <v>1</v>
      </c>
      <c r="BJ278" t="s">
        <v>98</v>
      </c>
      <c r="BK278" t="s">
        <v>99</v>
      </c>
      <c r="BL278" t="s">
        <v>98</v>
      </c>
      <c r="BM278" t="s">
        <v>100</v>
      </c>
      <c r="BN278" t="s">
        <v>74</v>
      </c>
      <c r="BO278" t="s">
        <v>74</v>
      </c>
      <c r="BP278" t="s">
        <v>74</v>
      </c>
      <c r="BQ278" t="s">
        <v>74</v>
      </c>
      <c r="BR278" t="s">
        <v>101</v>
      </c>
      <c r="BS278" t="s">
        <v>2327</v>
      </c>
      <c r="BT278" t="str">
        <f>HYPERLINK("https%3A%2F%2Fwww.webofscience.com%2Fwos%2Fwoscc%2Ffull-record%2FWOS:000257683100286","View Full Record in Web of Science")</f>
        <v>View Full Record in Web of Science</v>
      </c>
    </row>
    <row r="279" spans="1:72" x14ac:dyDescent="0.15">
      <c r="A279" t="s">
        <v>72</v>
      </c>
      <c r="B279" t="s">
        <v>2328</v>
      </c>
      <c r="C279" t="s">
        <v>74</v>
      </c>
      <c r="D279" t="s">
        <v>74</v>
      </c>
      <c r="E279" t="s">
        <v>74</v>
      </c>
      <c r="F279" t="s">
        <v>2329</v>
      </c>
      <c r="G279" t="s">
        <v>74</v>
      </c>
      <c r="H279" t="s">
        <v>74</v>
      </c>
      <c r="I279" t="s">
        <v>2330</v>
      </c>
      <c r="J279" t="s">
        <v>77</v>
      </c>
      <c r="K279" t="s">
        <v>74</v>
      </c>
      <c r="L279" t="s">
        <v>74</v>
      </c>
      <c r="M279" t="s">
        <v>78</v>
      </c>
      <c r="N279" t="s">
        <v>52</v>
      </c>
      <c r="O279" t="s">
        <v>79</v>
      </c>
      <c r="P279" t="s">
        <v>80</v>
      </c>
      <c r="Q279" t="s">
        <v>81</v>
      </c>
      <c r="R279" t="s">
        <v>74</v>
      </c>
      <c r="S279" t="s">
        <v>82</v>
      </c>
      <c r="T279" t="s">
        <v>74</v>
      </c>
      <c r="U279" t="s">
        <v>74</v>
      </c>
      <c r="V279" t="s">
        <v>74</v>
      </c>
      <c r="W279" t="s">
        <v>2331</v>
      </c>
      <c r="X279" t="s">
        <v>2332</v>
      </c>
      <c r="Y279" t="s">
        <v>74</v>
      </c>
      <c r="Z279" t="s">
        <v>2333</v>
      </c>
      <c r="AA279" t="s">
        <v>74</v>
      </c>
      <c r="AB279" t="s">
        <v>74</v>
      </c>
      <c r="AC279" t="s">
        <v>521</v>
      </c>
      <c r="AD279" t="s">
        <v>522</v>
      </c>
      <c r="AE279" t="s">
        <v>74</v>
      </c>
      <c r="AF279" t="s">
        <v>74</v>
      </c>
      <c r="AG279">
        <v>2</v>
      </c>
      <c r="AH279">
        <v>0</v>
      </c>
      <c r="AI279">
        <v>0</v>
      </c>
      <c r="AJ279">
        <v>0</v>
      </c>
      <c r="AK279">
        <v>0</v>
      </c>
      <c r="AL279" t="s">
        <v>88</v>
      </c>
      <c r="AM279" t="s">
        <v>89</v>
      </c>
      <c r="AN279" t="s">
        <v>90</v>
      </c>
      <c r="AO279" t="s">
        <v>91</v>
      </c>
      <c r="AP279" t="s">
        <v>92</v>
      </c>
      <c r="AQ279" t="s">
        <v>74</v>
      </c>
      <c r="AR279" t="s">
        <v>93</v>
      </c>
      <c r="AS279" t="s">
        <v>94</v>
      </c>
      <c r="AT279" t="s">
        <v>95</v>
      </c>
      <c r="AU279">
        <v>2008</v>
      </c>
      <c r="AV279">
        <v>43</v>
      </c>
      <c r="AW279">
        <v>7</v>
      </c>
      <c r="AX279" t="s">
        <v>74</v>
      </c>
      <c r="AY279" t="s">
        <v>96</v>
      </c>
      <c r="AZ279" t="s">
        <v>74</v>
      </c>
      <c r="BA279" t="s">
        <v>74</v>
      </c>
      <c r="BB279" t="s">
        <v>2334</v>
      </c>
      <c r="BC279" t="s">
        <v>2334</v>
      </c>
      <c r="BD279" t="s">
        <v>74</v>
      </c>
      <c r="BE279" t="s">
        <v>74</v>
      </c>
      <c r="BF279" t="s">
        <v>74</v>
      </c>
      <c r="BG279" t="s">
        <v>74</v>
      </c>
      <c r="BH279" t="s">
        <v>74</v>
      </c>
      <c r="BI279">
        <v>1</v>
      </c>
      <c r="BJ279" t="s">
        <v>98</v>
      </c>
      <c r="BK279" t="s">
        <v>99</v>
      </c>
      <c r="BL279" t="s">
        <v>98</v>
      </c>
      <c r="BM279" t="s">
        <v>100</v>
      </c>
      <c r="BN279" t="s">
        <v>74</v>
      </c>
      <c r="BO279" t="s">
        <v>74</v>
      </c>
      <c r="BP279" t="s">
        <v>74</v>
      </c>
      <c r="BQ279" t="s">
        <v>74</v>
      </c>
      <c r="BR279" t="s">
        <v>101</v>
      </c>
      <c r="BS279" t="s">
        <v>2335</v>
      </c>
      <c r="BT279" t="str">
        <f>HYPERLINK("https%3A%2F%2Fwww.webofscience.com%2Fwos%2Fwoscc%2Ffull-record%2FWOS:000257683100287","View Full Record in Web of Science")</f>
        <v>View Full Record in Web of Science</v>
      </c>
    </row>
    <row r="280" spans="1:72" x14ac:dyDescent="0.15">
      <c r="A280" t="s">
        <v>72</v>
      </c>
      <c r="B280" t="s">
        <v>2336</v>
      </c>
      <c r="C280" t="s">
        <v>74</v>
      </c>
      <c r="D280" t="s">
        <v>74</v>
      </c>
      <c r="E280" t="s">
        <v>74</v>
      </c>
      <c r="F280" t="s">
        <v>2337</v>
      </c>
      <c r="G280" t="s">
        <v>74</v>
      </c>
      <c r="H280" t="s">
        <v>74</v>
      </c>
      <c r="I280" t="s">
        <v>2338</v>
      </c>
      <c r="J280" t="s">
        <v>77</v>
      </c>
      <c r="K280" t="s">
        <v>74</v>
      </c>
      <c r="L280" t="s">
        <v>74</v>
      </c>
      <c r="M280" t="s">
        <v>78</v>
      </c>
      <c r="N280" t="s">
        <v>52</v>
      </c>
      <c r="O280" t="s">
        <v>79</v>
      </c>
      <c r="P280" t="s">
        <v>80</v>
      </c>
      <c r="Q280" t="s">
        <v>81</v>
      </c>
      <c r="R280" t="s">
        <v>74</v>
      </c>
      <c r="S280" t="s">
        <v>82</v>
      </c>
      <c r="T280" t="s">
        <v>74</v>
      </c>
      <c r="U280" t="s">
        <v>2339</v>
      </c>
      <c r="V280" t="s">
        <v>74</v>
      </c>
      <c r="W280" t="s">
        <v>2340</v>
      </c>
      <c r="X280" t="s">
        <v>510</v>
      </c>
      <c r="Y280" t="s">
        <v>74</v>
      </c>
      <c r="Z280" t="s">
        <v>2341</v>
      </c>
      <c r="AA280" t="s">
        <v>2342</v>
      </c>
      <c r="AB280" t="s">
        <v>2343</v>
      </c>
      <c r="AC280" t="s">
        <v>2344</v>
      </c>
      <c r="AD280" t="s">
        <v>333</v>
      </c>
      <c r="AE280" t="s">
        <v>74</v>
      </c>
      <c r="AF280" t="s">
        <v>74</v>
      </c>
      <c r="AG280">
        <v>9</v>
      </c>
      <c r="AH280">
        <v>0</v>
      </c>
      <c r="AI280">
        <v>0</v>
      </c>
      <c r="AJ280">
        <v>0</v>
      </c>
      <c r="AK280">
        <v>1</v>
      </c>
      <c r="AL280" t="s">
        <v>149</v>
      </c>
      <c r="AM280" t="s">
        <v>150</v>
      </c>
      <c r="AN280" t="s">
        <v>151</v>
      </c>
      <c r="AO280" t="s">
        <v>91</v>
      </c>
      <c r="AP280" t="s">
        <v>74</v>
      </c>
      <c r="AQ280" t="s">
        <v>74</v>
      </c>
      <c r="AR280" t="s">
        <v>93</v>
      </c>
      <c r="AS280" t="s">
        <v>94</v>
      </c>
      <c r="AT280" t="s">
        <v>95</v>
      </c>
      <c r="AU280">
        <v>2008</v>
      </c>
      <c r="AV280">
        <v>43</v>
      </c>
      <c r="AW280">
        <v>7</v>
      </c>
      <c r="AX280" t="s">
        <v>74</v>
      </c>
      <c r="AY280" t="s">
        <v>96</v>
      </c>
      <c r="AZ280" t="s">
        <v>74</v>
      </c>
      <c r="BA280" t="s">
        <v>74</v>
      </c>
      <c r="BB280" t="s">
        <v>2334</v>
      </c>
      <c r="BC280" t="s">
        <v>2334</v>
      </c>
      <c r="BD280" t="s">
        <v>74</v>
      </c>
      <c r="BE280" t="s">
        <v>74</v>
      </c>
      <c r="BF280" t="s">
        <v>74</v>
      </c>
      <c r="BG280" t="s">
        <v>74</v>
      </c>
      <c r="BH280" t="s">
        <v>74</v>
      </c>
      <c r="BI280">
        <v>1</v>
      </c>
      <c r="BJ280" t="s">
        <v>98</v>
      </c>
      <c r="BK280" t="s">
        <v>99</v>
      </c>
      <c r="BL280" t="s">
        <v>98</v>
      </c>
      <c r="BM280" t="s">
        <v>100</v>
      </c>
      <c r="BN280" t="s">
        <v>74</v>
      </c>
      <c r="BO280" t="s">
        <v>74</v>
      </c>
      <c r="BP280" t="s">
        <v>74</v>
      </c>
      <c r="BQ280" t="s">
        <v>74</v>
      </c>
      <c r="BR280" t="s">
        <v>101</v>
      </c>
      <c r="BS280" t="s">
        <v>2345</v>
      </c>
      <c r="BT280" t="str">
        <f>HYPERLINK("https%3A%2F%2Fwww.webofscience.com%2Fwos%2Fwoscc%2Ffull-record%2FWOS:000257683100288","View Full Record in Web of Science")</f>
        <v>View Full Record in Web of Science</v>
      </c>
    </row>
    <row r="281" spans="1:72" x14ac:dyDescent="0.15">
      <c r="A281" t="s">
        <v>72</v>
      </c>
      <c r="B281" t="s">
        <v>2346</v>
      </c>
      <c r="C281" t="s">
        <v>74</v>
      </c>
      <c r="D281" t="s">
        <v>74</v>
      </c>
      <c r="E281" t="s">
        <v>74</v>
      </c>
      <c r="F281" t="s">
        <v>2347</v>
      </c>
      <c r="G281" t="s">
        <v>74</v>
      </c>
      <c r="H281" t="s">
        <v>74</v>
      </c>
      <c r="I281" t="s">
        <v>2348</v>
      </c>
      <c r="J281" t="s">
        <v>77</v>
      </c>
      <c r="K281" t="s">
        <v>74</v>
      </c>
      <c r="L281" t="s">
        <v>74</v>
      </c>
      <c r="M281" t="s">
        <v>78</v>
      </c>
      <c r="N281" t="s">
        <v>52</v>
      </c>
      <c r="O281" t="s">
        <v>79</v>
      </c>
      <c r="P281" t="s">
        <v>80</v>
      </c>
      <c r="Q281" t="s">
        <v>81</v>
      </c>
      <c r="R281" t="s">
        <v>74</v>
      </c>
      <c r="S281" t="s">
        <v>82</v>
      </c>
      <c r="T281" t="s">
        <v>74</v>
      </c>
      <c r="U281" t="s">
        <v>2349</v>
      </c>
      <c r="V281" t="s">
        <v>74</v>
      </c>
      <c r="W281" t="s">
        <v>2350</v>
      </c>
      <c r="X281" t="s">
        <v>2351</v>
      </c>
      <c r="Y281" t="s">
        <v>74</v>
      </c>
      <c r="Z281" t="s">
        <v>2352</v>
      </c>
      <c r="AA281" t="s">
        <v>2353</v>
      </c>
      <c r="AB281" t="s">
        <v>74</v>
      </c>
      <c r="AC281" t="s">
        <v>74</v>
      </c>
      <c r="AD281" t="s">
        <v>74</v>
      </c>
      <c r="AE281" t="s">
        <v>74</v>
      </c>
      <c r="AF281" t="s">
        <v>74</v>
      </c>
      <c r="AG281">
        <v>5</v>
      </c>
      <c r="AH281">
        <v>2</v>
      </c>
      <c r="AI281">
        <v>2</v>
      </c>
      <c r="AJ281">
        <v>0</v>
      </c>
      <c r="AK281">
        <v>2</v>
      </c>
      <c r="AL281" t="s">
        <v>109</v>
      </c>
      <c r="AM281" t="s">
        <v>110</v>
      </c>
      <c r="AN281" t="s">
        <v>111</v>
      </c>
      <c r="AO281" t="s">
        <v>91</v>
      </c>
      <c r="AP281" t="s">
        <v>74</v>
      </c>
      <c r="AQ281" t="s">
        <v>74</v>
      </c>
      <c r="AR281" t="s">
        <v>93</v>
      </c>
      <c r="AS281" t="s">
        <v>94</v>
      </c>
      <c r="AT281" t="s">
        <v>95</v>
      </c>
      <c r="AU281">
        <v>2008</v>
      </c>
      <c r="AV281">
        <v>43</v>
      </c>
      <c r="AW281">
        <v>7</v>
      </c>
      <c r="AX281" t="s">
        <v>74</v>
      </c>
      <c r="AY281" t="s">
        <v>96</v>
      </c>
      <c r="AZ281" t="s">
        <v>74</v>
      </c>
      <c r="BA281" t="s">
        <v>74</v>
      </c>
      <c r="BB281" t="s">
        <v>2354</v>
      </c>
      <c r="BC281" t="s">
        <v>2354</v>
      </c>
      <c r="BD281" t="s">
        <v>74</v>
      </c>
      <c r="BE281" t="s">
        <v>74</v>
      </c>
      <c r="BF281" t="s">
        <v>74</v>
      </c>
      <c r="BG281" t="s">
        <v>74</v>
      </c>
      <c r="BH281" t="s">
        <v>74</v>
      </c>
      <c r="BI281">
        <v>1</v>
      </c>
      <c r="BJ281" t="s">
        <v>98</v>
      </c>
      <c r="BK281" t="s">
        <v>113</v>
      </c>
      <c r="BL281" t="s">
        <v>98</v>
      </c>
      <c r="BM281" t="s">
        <v>100</v>
      </c>
      <c r="BN281" t="s">
        <v>74</v>
      </c>
      <c r="BO281" t="s">
        <v>74</v>
      </c>
      <c r="BP281" t="s">
        <v>74</v>
      </c>
      <c r="BQ281" t="s">
        <v>74</v>
      </c>
      <c r="BR281" t="s">
        <v>101</v>
      </c>
      <c r="BS281" t="s">
        <v>2355</v>
      </c>
      <c r="BT281" t="str">
        <f>HYPERLINK("https%3A%2F%2Fwww.webofscience.com%2Fwos%2Fwoscc%2Ffull-record%2FWOS:000257683100289","View Full Record in Web of Science")</f>
        <v>View Full Record in Web of Science</v>
      </c>
    </row>
    <row r="282" spans="1:72" x14ac:dyDescent="0.15">
      <c r="A282" t="s">
        <v>72</v>
      </c>
      <c r="B282" t="s">
        <v>2356</v>
      </c>
      <c r="C282" t="s">
        <v>74</v>
      </c>
      <c r="D282" t="s">
        <v>74</v>
      </c>
      <c r="E282" t="s">
        <v>74</v>
      </c>
      <c r="F282" t="s">
        <v>2357</v>
      </c>
      <c r="G282" t="s">
        <v>74</v>
      </c>
      <c r="H282" t="s">
        <v>74</v>
      </c>
      <c r="I282" t="s">
        <v>2358</v>
      </c>
      <c r="J282" t="s">
        <v>77</v>
      </c>
      <c r="K282" t="s">
        <v>74</v>
      </c>
      <c r="L282" t="s">
        <v>74</v>
      </c>
      <c r="M282" t="s">
        <v>78</v>
      </c>
      <c r="N282" t="s">
        <v>52</v>
      </c>
      <c r="O282" t="s">
        <v>79</v>
      </c>
      <c r="P282" t="s">
        <v>80</v>
      </c>
      <c r="Q282" t="s">
        <v>81</v>
      </c>
      <c r="R282" t="s">
        <v>74</v>
      </c>
      <c r="S282" t="s">
        <v>82</v>
      </c>
      <c r="T282" t="s">
        <v>74</v>
      </c>
      <c r="U282" t="s">
        <v>2359</v>
      </c>
      <c r="V282" t="s">
        <v>74</v>
      </c>
      <c r="W282" t="s">
        <v>2360</v>
      </c>
      <c r="X282" t="s">
        <v>2361</v>
      </c>
      <c r="Y282" t="s">
        <v>74</v>
      </c>
      <c r="Z282" t="s">
        <v>2362</v>
      </c>
      <c r="AA282" t="s">
        <v>74</v>
      </c>
      <c r="AB282" t="s">
        <v>74</v>
      </c>
      <c r="AC282" t="s">
        <v>74</v>
      </c>
      <c r="AD282" t="s">
        <v>74</v>
      </c>
      <c r="AE282" t="s">
        <v>74</v>
      </c>
      <c r="AF282" t="s">
        <v>74</v>
      </c>
      <c r="AG282">
        <v>4</v>
      </c>
      <c r="AH282">
        <v>0</v>
      </c>
      <c r="AI282">
        <v>0</v>
      </c>
      <c r="AJ282">
        <v>0</v>
      </c>
      <c r="AK282">
        <v>0</v>
      </c>
      <c r="AL282" t="s">
        <v>88</v>
      </c>
      <c r="AM282" t="s">
        <v>89</v>
      </c>
      <c r="AN282" t="s">
        <v>90</v>
      </c>
      <c r="AO282" t="s">
        <v>91</v>
      </c>
      <c r="AP282" t="s">
        <v>92</v>
      </c>
      <c r="AQ282" t="s">
        <v>74</v>
      </c>
      <c r="AR282" t="s">
        <v>93</v>
      </c>
      <c r="AS282" t="s">
        <v>94</v>
      </c>
      <c r="AT282" t="s">
        <v>95</v>
      </c>
      <c r="AU282">
        <v>2008</v>
      </c>
      <c r="AV282">
        <v>43</v>
      </c>
      <c r="AW282">
        <v>7</v>
      </c>
      <c r="AX282" t="s">
        <v>74</v>
      </c>
      <c r="AY282" t="s">
        <v>96</v>
      </c>
      <c r="AZ282" t="s">
        <v>74</v>
      </c>
      <c r="BA282" t="s">
        <v>74</v>
      </c>
      <c r="BB282" t="s">
        <v>2354</v>
      </c>
      <c r="BC282" t="s">
        <v>2354</v>
      </c>
      <c r="BD282" t="s">
        <v>74</v>
      </c>
      <c r="BE282" t="s">
        <v>74</v>
      </c>
      <c r="BF282" t="s">
        <v>74</v>
      </c>
      <c r="BG282" t="s">
        <v>74</v>
      </c>
      <c r="BH282" t="s">
        <v>74</v>
      </c>
      <c r="BI282">
        <v>1</v>
      </c>
      <c r="BJ282" t="s">
        <v>98</v>
      </c>
      <c r="BK282" t="s">
        <v>99</v>
      </c>
      <c r="BL282" t="s">
        <v>98</v>
      </c>
      <c r="BM282" t="s">
        <v>100</v>
      </c>
      <c r="BN282" t="s">
        <v>74</v>
      </c>
      <c r="BO282" t="s">
        <v>74</v>
      </c>
      <c r="BP282" t="s">
        <v>74</v>
      </c>
      <c r="BQ282" t="s">
        <v>74</v>
      </c>
      <c r="BR282" t="s">
        <v>101</v>
      </c>
      <c r="BS282" t="s">
        <v>2363</v>
      </c>
      <c r="BT282" t="str">
        <f>HYPERLINK("https%3A%2F%2Fwww.webofscience.com%2Fwos%2Fwoscc%2Ffull-record%2FWOS:000257683100290","View Full Record in Web of Science")</f>
        <v>View Full Record in Web of Science</v>
      </c>
    </row>
    <row r="283" spans="1:72" x14ac:dyDescent="0.15">
      <c r="A283" t="s">
        <v>72</v>
      </c>
      <c r="B283" t="s">
        <v>2364</v>
      </c>
      <c r="C283" t="s">
        <v>74</v>
      </c>
      <c r="D283" t="s">
        <v>74</v>
      </c>
      <c r="E283" t="s">
        <v>74</v>
      </c>
      <c r="F283" t="s">
        <v>2365</v>
      </c>
      <c r="G283" t="s">
        <v>74</v>
      </c>
      <c r="H283" t="s">
        <v>74</v>
      </c>
      <c r="I283" t="s">
        <v>2366</v>
      </c>
      <c r="J283" t="s">
        <v>77</v>
      </c>
      <c r="K283" t="s">
        <v>74</v>
      </c>
      <c r="L283" t="s">
        <v>74</v>
      </c>
      <c r="M283" t="s">
        <v>78</v>
      </c>
      <c r="N283" t="s">
        <v>52</v>
      </c>
      <c r="O283" t="s">
        <v>79</v>
      </c>
      <c r="P283" t="s">
        <v>80</v>
      </c>
      <c r="Q283" t="s">
        <v>81</v>
      </c>
      <c r="R283" t="s">
        <v>74</v>
      </c>
      <c r="S283" t="s">
        <v>82</v>
      </c>
      <c r="T283" t="s">
        <v>74</v>
      </c>
      <c r="U283" t="s">
        <v>74</v>
      </c>
      <c r="V283" t="s">
        <v>74</v>
      </c>
      <c r="W283" t="s">
        <v>2367</v>
      </c>
      <c r="X283" t="s">
        <v>1028</v>
      </c>
      <c r="Y283" t="s">
        <v>74</v>
      </c>
      <c r="Z283" t="s">
        <v>2368</v>
      </c>
      <c r="AA283" t="s">
        <v>74</v>
      </c>
      <c r="AB283" t="s">
        <v>74</v>
      </c>
      <c r="AC283" t="s">
        <v>74</v>
      </c>
      <c r="AD283" t="s">
        <v>74</v>
      </c>
      <c r="AE283" t="s">
        <v>74</v>
      </c>
      <c r="AF283" t="s">
        <v>74</v>
      </c>
      <c r="AG283">
        <v>3</v>
      </c>
      <c r="AH283">
        <v>2</v>
      </c>
      <c r="AI283">
        <v>2</v>
      </c>
      <c r="AJ283">
        <v>0</v>
      </c>
      <c r="AK283">
        <v>1</v>
      </c>
      <c r="AL283" t="s">
        <v>109</v>
      </c>
      <c r="AM283" t="s">
        <v>110</v>
      </c>
      <c r="AN283" t="s">
        <v>111</v>
      </c>
      <c r="AO283" t="s">
        <v>91</v>
      </c>
      <c r="AP283" t="s">
        <v>74</v>
      </c>
      <c r="AQ283" t="s">
        <v>74</v>
      </c>
      <c r="AR283" t="s">
        <v>93</v>
      </c>
      <c r="AS283" t="s">
        <v>94</v>
      </c>
      <c r="AT283" t="s">
        <v>95</v>
      </c>
      <c r="AU283">
        <v>2008</v>
      </c>
      <c r="AV283">
        <v>43</v>
      </c>
      <c r="AW283">
        <v>7</v>
      </c>
      <c r="AX283" t="s">
        <v>74</v>
      </c>
      <c r="AY283" t="s">
        <v>96</v>
      </c>
      <c r="AZ283" t="s">
        <v>74</v>
      </c>
      <c r="BA283" t="s">
        <v>74</v>
      </c>
      <c r="BB283" t="s">
        <v>2369</v>
      </c>
      <c r="BC283" t="s">
        <v>2369</v>
      </c>
      <c r="BD283" t="s">
        <v>74</v>
      </c>
      <c r="BE283" t="s">
        <v>74</v>
      </c>
      <c r="BF283" t="s">
        <v>74</v>
      </c>
      <c r="BG283" t="s">
        <v>74</v>
      </c>
      <c r="BH283" t="s">
        <v>74</v>
      </c>
      <c r="BI283">
        <v>1</v>
      </c>
      <c r="BJ283" t="s">
        <v>98</v>
      </c>
      <c r="BK283" t="s">
        <v>113</v>
      </c>
      <c r="BL283" t="s">
        <v>98</v>
      </c>
      <c r="BM283" t="s">
        <v>100</v>
      </c>
      <c r="BN283" t="s">
        <v>74</v>
      </c>
      <c r="BO283" t="s">
        <v>74</v>
      </c>
      <c r="BP283" t="s">
        <v>74</v>
      </c>
      <c r="BQ283" t="s">
        <v>74</v>
      </c>
      <c r="BR283" t="s">
        <v>101</v>
      </c>
      <c r="BS283" t="s">
        <v>2370</v>
      </c>
      <c r="BT283" t="str">
        <f>HYPERLINK("https%3A%2F%2Fwww.webofscience.com%2Fwos%2Fwoscc%2Ffull-record%2FWOS:000257683100291","View Full Record in Web of Science")</f>
        <v>View Full Record in Web of Science</v>
      </c>
    </row>
    <row r="284" spans="1:72" x14ac:dyDescent="0.15">
      <c r="A284" t="s">
        <v>72</v>
      </c>
      <c r="B284" t="s">
        <v>2371</v>
      </c>
      <c r="C284" t="s">
        <v>74</v>
      </c>
      <c r="D284" t="s">
        <v>74</v>
      </c>
      <c r="E284" t="s">
        <v>74</v>
      </c>
      <c r="F284" t="s">
        <v>2372</v>
      </c>
      <c r="G284" t="s">
        <v>74</v>
      </c>
      <c r="H284" t="s">
        <v>74</v>
      </c>
      <c r="I284" t="s">
        <v>2373</v>
      </c>
      <c r="J284" t="s">
        <v>77</v>
      </c>
      <c r="K284" t="s">
        <v>74</v>
      </c>
      <c r="L284" t="s">
        <v>74</v>
      </c>
      <c r="M284" t="s">
        <v>78</v>
      </c>
      <c r="N284" t="s">
        <v>52</v>
      </c>
      <c r="O284" t="s">
        <v>79</v>
      </c>
      <c r="P284" t="s">
        <v>80</v>
      </c>
      <c r="Q284" t="s">
        <v>81</v>
      </c>
      <c r="R284" t="s">
        <v>74</v>
      </c>
      <c r="S284" t="s">
        <v>82</v>
      </c>
      <c r="T284" t="s">
        <v>74</v>
      </c>
      <c r="U284" t="s">
        <v>2374</v>
      </c>
      <c r="V284" t="s">
        <v>74</v>
      </c>
      <c r="W284" t="s">
        <v>2375</v>
      </c>
      <c r="X284" t="s">
        <v>247</v>
      </c>
      <c r="Y284" t="s">
        <v>74</v>
      </c>
      <c r="Z284" t="s">
        <v>2376</v>
      </c>
      <c r="AA284" t="s">
        <v>74</v>
      </c>
      <c r="AB284" t="s">
        <v>74</v>
      </c>
      <c r="AC284" t="s">
        <v>74</v>
      </c>
      <c r="AD284" t="s">
        <v>74</v>
      </c>
      <c r="AE284" t="s">
        <v>74</v>
      </c>
      <c r="AF284" t="s">
        <v>74</v>
      </c>
      <c r="AG284">
        <v>7</v>
      </c>
      <c r="AH284">
        <v>0</v>
      </c>
      <c r="AI284">
        <v>0</v>
      </c>
      <c r="AJ284">
        <v>0</v>
      </c>
      <c r="AK284">
        <v>2</v>
      </c>
      <c r="AL284" t="s">
        <v>109</v>
      </c>
      <c r="AM284" t="s">
        <v>110</v>
      </c>
      <c r="AN284" t="s">
        <v>111</v>
      </c>
      <c r="AO284" t="s">
        <v>91</v>
      </c>
      <c r="AP284" t="s">
        <v>74</v>
      </c>
      <c r="AQ284" t="s">
        <v>74</v>
      </c>
      <c r="AR284" t="s">
        <v>93</v>
      </c>
      <c r="AS284" t="s">
        <v>94</v>
      </c>
      <c r="AT284" t="s">
        <v>95</v>
      </c>
      <c r="AU284">
        <v>2008</v>
      </c>
      <c r="AV284">
        <v>43</v>
      </c>
      <c r="AW284">
        <v>7</v>
      </c>
      <c r="AX284" t="s">
        <v>74</v>
      </c>
      <c r="AY284" t="s">
        <v>96</v>
      </c>
      <c r="AZ284" t="s">
        <v>74</v>
      </c>
      <c r="BA284" t="s">
        <v>74</v>
      </c>
      <c r="BB284" t="s">
        <v>2369</v>
      </c>
      <c r="BC284" t="s">
        <v>2369</v>
      </c>
      <c r="BD284" t="s">
        <v>74</v>
      </c>
      <c r="BE284" t="s">
        <v>74</v>
      </c>
      <c r="BF284" t="s">
        <v>74</v>
      </c>
      <c r="BG284" t="s">
        <v>74</v>
      </c>
      <c r="BH284" t="s">
        <v>74</v>
      </c>
      <c r="BI284">
        <v>1</v>
      </c>
      <c r="BJ284" t="s">
        <v>98</v>
      </c>
      <c r="BK284" t="s">
        <v>113</v>
      </c>
      <c r="BL284" t="s">
        <v>98</v>
      </c>
      <c r="BM284" t="s">
        <v>100</v>
      </c>
      <c r="BN284" t="s">
        <v>74</v>
      </c>
      <c r="BO284" t="s">
        <v>74</v>
      </c>
      <c r="BP284" t="s">
        <v>74</v>
      </c>
      <c r="BQ284" t="s">
        <v>74</v>
      </c>
      <c r="BR284" t="s">
        <v>101</v>
      </c>
      <c r="BS284" t="s">
        <v>2377</v>
      </c>
      <c r="BT284" t="str">
        <f>HYPERLINK("https%3A%2F%2Fwww.webofscience.com%2Fwos%2Fwoscc%2Ffull-record%2FWOS:000257683100292","View Full Record in Web of Science")</f>
        <v>View Full Record in Web of Science</v>
      </c>
    </row>
    <row r="285" spans="1:72" x14ac:dyDescent="0.15">
      <c r="A285" t="s">
        <v>72</v>
      </c>
      <c r="B285" t="s">
        <v>2378</v>
      </c>
      <c r="C285" t="s">
        <v>74</v>
      </c>
      <c r="D285" t="s">
        <v>74</v>
      </c>
      <c r="E285" t="s">
        <v>74</v>
      </c>
      <c r="F285" t="s">
        <v>2379</v>
      </c>
      <c r="G285" t="s">
        <v>74</v>
      </c>
      <c r="H285" t="s">
        <v>74</v>
      </c>
      <c r="I285" t="s">
        <v>2380</v>
      </c>
      <c r="J285" t="s">
        <v>77</v>
      </c>
      <c r="K285" t="s">
        <v>74</v>
      </c>
      <c r="L285" t="s">
        <v>74</v>
      </c>
      <c r="M285" t="s">
        <v>78</v>
      </c>
      <c r="N285" t="s">
        <v>52</v>
      </c>
      <c r="O285" t="s">
        <v>79</v>
      </c>
      <c r="P285" t="s">
        <v>80</v>
      </c>
      <c r="Q285" t="s">
        <v>81</v>
      </c>
      <c r="R285" t="s">
        <v>74</v>
      </c>
      <c r="S285" t="s">
        <v>82</v>
      </c>
      <c r="T285" t="s">
        <v>74</v>
      </c>
      <c r="U285" t="s">
        <v>74</v>
      </c>
      <c r="V285" t="s">
        <v>74</v>
      </c>
      <c r="W285" t="s">
        <v>2381</v>
      </c>
      <c r="X285" t="s">
        <v>928</v>
      </c>
      <c r="Y285" t="s">
        <v>74</v>
      </c>
      <c r="Z285" t="s">
        <v>2382</v>
      </c>
      <c r="AA285" t="s">
        <v>74</v>
      </c>
      <c r="AB285" t="s">
        <v>74</v>
      </c>
      <c r="AC285" t="s">
        <v>74</v>
      </c>
      <c r="AD285" t="s">
        <v>74</v>
      </c>
      <c r="AE285" t="s">
        <v>74</v>
      </c>
      <c r="AF285" t="s">
        <v>74</v>
      </c>
      <c r="AG285">
        <v>5</v>
      </c>
      <c r="AH285">
        <v>0</v>
      </c>
      <c r="AI285">
        <v>0</v>
      </c>
      <c r="AJ285">
        <v>0</v>
      </c>
      <c r="AK285">
        <v>0</v>
      </c>
      <c r="AL285" t="s">
        <v>88</v>
      </c>
      <c r="AM285" t="s">
        <v>89</v>
      </c>
      <c r="AN285" t="s">
        <v>90</v>
      </c>
      <c r="AO285" t="s">
        <v>91</v>
      </c>
      <c r="AP285" t="s">
        <v>92</v>
      </c>
      <c r="AQ285" t="s">
        <v>74</v>
      </c>
      <c r="AR285" t="s">
        <v>93</v>
      </c>
      <c r="AS285" t="s">
        <v>94</v>
      </c>
      <c r="AT285" t="s">
        <v>95</v>
      </c>
      <c r="AU285">
        <v>2008</v>
      </c>
      <c r="AV285">
        <v>43</v>
      </c>
      <c r="AW285">
        <v>7</v>
      </c>
      <c r="AX285" t="s">
        <v>74</v>
      </c>
      <c r="AY285" t="s">
        <v>96</v>
      </c>
      <c r="AZ285" t="s">
        <v>74</v>
      </c>
      <c r="BA285" t="s">
        <v>74</v>
      </c>
      <c r="BB285" t="s">
        <v>2383</v>
      </c>
      <c r="BC285" t="s">
        <v>2383</v>
      </c>
      <c r="BD285" t="s">
        <v>74</v>
      </c>
      <c r="BE285" t="s">
        <v>74</v>
      </c>
      <c r="BF285" t="s">
        <v>74</v>
      </c>
      <c r="BG285" t="s">
        <v>74</v>
      </c>
      <c r="BH285" t="s">
        <v>74</v>
      </c>
      <c r="BI285">
        <v>1</v>
      </c>
      <c r="BJ285" t="s">
        <v>98</v>
      </c>
      <c r="BK285" t="s">
        <v>99</v>
      </c>
      <c r="BL285" t="s">
        <v>98</v>
      </c>
      <c r="BM285" t="s">
        <v>100</v>
      </c>
      <c r="BN285" t="s">
        <v>74</v>
      </c>
      <c r="BO285" t="s">
        <v>74</v>
      </c>
      <c r="BP285" t="s">
        <v>74</v>
      </c>
      <c r="BQ285" t="s">
        <v>74</v>
      </c>
      <c r="BR285" t="s">
        <v>101</v>
      </c>
      <c r="BS285" t="s">
        <v>2384</v>
      </c>
      <c r="BT285" t="str">
        <f>HYPERLINK("https%3A%2F%2Fwww.webofscience.com%2Fwos%2Fwoscc%2Ffull-record%2FWOS:000257683100293","View Full Record in Web of Science")</f>
        <v>View Full Record in Web of Science</v>
      </c>
    </row>
    <row r="286" spans="1:72" x14ac:dyDescent="0.15">
      <c r="A286" t="s">
        <v>72</v>
      </c>
      <c r="B286" t="s">
        <v>2385</v>
      </c>
      <c r="C286" t="s">
        <v>74</v>
      </c>
      <c r="D286" t="s">
        <v>74</v>
      </c>
      <c r="E286" t="s">
        <v>74</v>
      </c>
      <c r="F286" t="s">
        <v>2386</v>
      </c>
      <c r="G286" t="s">
        <v>74</v>
      </c>
      <c r="H286" t="s">
        <v>74</v>
      </c>
      <c r="I286" t="s">
        <v>2387</v>
      </c>
      <c r="J286" t="s">
        <v>77</v>
      </c>
      <c r="K286" t="s">
        <v>74</v>
      </c>
      <c r="L286" t="s">
        <v>74</v>
      </c>
      <c r="M286" t="s">
        <v>78</v>
      </c>
      <c r="N286" t="s">
        <v>52</v>
      </c>
      <c r="O286" t="s">
        <v>79</v>
      </c>
      <c r="P286" t="s">
        <v>80</v>
      </c>
      <c r="Q286" t="s">
        <v>81</v>
      </c>
      <c r="R286" t="s">
        <v>74</v>
      </c>
      <c r="S286" t="s">
        <v>82</v>
      </c>
      <c r="T286" t="s">
        <v>74</v>
      </c>
      <c r="U286" t="s">
        <v>74</v>
      </c>
      <c r="V286" t="s">
        <v>74</v>
      </c>
      <c r="W286" t="s">
        <v>2388</v>
      </c>
      <c r="X286" t="s">
        <v>2389</v>
      </c>
      <c r="Y286" t="s">
        <v>74</v>
      </c>
      <c r="Z286" t="s">
        <v>2382</v>
      </c>
      <c r="AA286" t="s">
        <v>74</v>
      </c>
      <c r="AB286" t="s">
        <v>74</v>
      </c>
      <c r="AC286" t="s">
        <v>74</v>
      </c>
      <c r="AD286" t="s">
        <v>74</v>
      </c>
      <c r="AE286" t="s">
        <v>74</v>
      </c>
      <c r="AF286" t="s">
        <v>74</v>
      </c>
      <c r="AG286">
        <v>2</v>
      </c>
      <c r="AH286">
        <v>0</v>
      </c>
      <c r="AI286">
        <v>0</v>
      </c>
      <c r="AJ286">
        <v>0</v>
      </c>
      <c r="AK286">
        <v>0</v>
      </c>
      <c r="AL286" t="s">
        <v>149</v>
      </c>
      <c r="AM286" t="s">
        <v>150</v>
      </c>
      <c r="AN286" t="s">
        <v>151</v>
      </c>
      <c r="AO286" t="s">
        <v>91</v>
      </c>
      <c r="AP286" t="s">
        <v>74</v>
      </c>
      <c r="AQ286" t="s">
        <v>74</v>
      </c>
      <c r="AR286" t="s">
        <v>93</v>
      </c>
      <c r="AS286" t="s">
        <v>94</v>
      </c>
      <c r="AT286" t="s">
        <v>95</v>
      </c>
      <c r="AU286">
        <v>2008</v>
      </c>
      <c r="AV286">
        <v>43</v>
      </c>
      <c r="AW286">
        <v>7</v>
      </c>
      <c r="AX286" t="s">
        <v>74</v>
      </c>
      <c r="AY286" t="s">
        <v>96</v>
      </c>
      <c r="AZ286" t="s">
        <v>74</v>
      </c>
      <c r="BA286" t="s">
        <v>74</v>
      </c>
      <c r="BB286" t="s">
        <v>2383</v>
      </c>
      <c r="BC286" t="s">
        <v>2383</v>
      </c>
      <c r="BD286" t="s">
        <v>74</v>
      </c>
      <c r="BE286" t="s">
        <v>74</v>
      </c>
      <c r="BF286" t="s">
        <v>74</v>
      </c>
      <c r="BG286" t="s">
        <v>74</v>
      </c>
      <c r="BH286" t="s">
        <v>74</v>
      </c>
      <c r="BI286">
        <v>1</v>
      </c>
      <c r="BJ286" t="s">
        <v>98</v>
      </c>
      <c r="BK286" t="s">
        <v>99</v>
      </c>
      <c r="BL286" t="s">
        <v>98</v>
      </c>
      <c r="BM286" t="s">
        <v>100</v>
      </c>
      <c r="BN286" t="s">
        <v>74</v>
      </c>
      <c r="BO286" t="s">
        <v>74</v>
      </c>
      <c r="BP286" t="s">
        <v>74</v>
      </c>
      <c r="BQ286" t="s">
        <v>74</v>
      </c>
      <c r="BR286" t="s">
        <v>101</v>
      </c>
      <c r="BS286" t="s">
        <v>2390</v>
      </c>
      <c r="BT286" t="str">
        <f>HYPERLINK("https%3A%2F%2Fwww.webofscience.com%2Fwos%2Fwoscc%2Ffull-record%2FWOS:000257683100294","View Full Record in Web of Science")</f>
        <v>View Full Record in Web of Science</v>
      </c>
    </row>
    <row r="287" spans="1:72" x14ac:dyDescent="0.15">
      <c r="A287" t="s">
        <v>72</v>
      </c>
      <c r="B287" t="s">
        <v>2391</v>
      </c>
      <c r="C287" t="s">
        <v>74</v>
      </c>
      <c r="D287" t="s">
        <v>74</v>
      </c>
      <c r="E287" t="s">
        <v>74</v>
      </c>
      <c r="F287" t="s">
        <v>2392</v>
      </c>
      <c r="G287" t="s">
        <v>74</v>
      </c>
      <c r="H287" t="s">
        <v>74</v>
      </c>
      <c r="I287" t="s">
        <v>2393</v>
      </c>
      <c r="J287" t="s">
        <v>77</v>
      </c>
      <c r="K287" t="s">
        <v>74</v>
      </c>
      <c r="L287" t="s">
        <v>74</v>
      </c>
      <c r="M287" t="s">
        <v>78</v>
      </c>
      <c r="N287" t="s">
        <v>52</v>
      </c>
      <c r="O287" t="s">
        <v>79</v>
      </c>
      <c r="P287" t="s">
        <v>80</v>
      </c>
      <c r="Q287" t="s">
        <v>81</v>
      </c>
      <c r="R287" t="s">
        <v>74</v>
      </c>
      <c r="S287" t="s">
        <v>82</v>
      </c>
      <c r="T287" t="s">
        <v>74</v>
      </c>
      <c r="U287" t="s">
        <v>74</v>
      </c>
      <c r="V287" t="s">
        <v>74</v>
      </c>
      <c r="W287" t="s">
        <v>2394</v>
      </c>
      <c r="X287" t="s">
        <v>2395</v>
      </c>
      <c r="Y287" t="s">
        <v>74</v>
      </c>
      <c r="Z287" t="s">
        <v>2396</v>
      </c>
      <c r="AA287" t="s">
        <v>74</v>
      </c>
      <c r="AB287" t="s">
        <v>74</v>
      </c>
      <c r="AC287" t="s">
        <v>74</v>
      </c>
      <c r="AD287" t="s">
        <v>74</v>
      </c>
      <c r="AE287" t="s">
        <v>74</v>
      </c>
      <c r="AF287" t="s">
        <v>74</v>
      </c>
      <c r="AG287">
        <v>0</v>
      </c>
      <c r="AH287">
        <v>0</v>
      </c>
      <c r="AI287">
        <v>0</v>
      </c>
      <c r="AJ287">
        <v>0</v>
      </c>
      <c r="AK287">
        <v>0</v>
      </c>
      <c r="AL287" t="s">
        <v>88</v>
      </c>
      <c r="AM287" t="s">
        <v>89</v>
      </c>
      <c r="AN287" t="s">
        <v>90</v>
      </c>
      <c r="AO287" t="s">
        <v>91</v>
      </c>
      <c r="AP287" t="s">
        <v>92</v>
      </c>
      <c r="AQ287" t="s">
        <v>74</v>
      </c>
      <c r="AR287" t="s">
        <v>93</v>
      </c>
      <c r="AS287" t="s">
        <v>94</v>
      </c>
      <c r="AT287" t="s">
        <v>95</v>
      </c>
      <c r="AU287">
        <v>2008</v>
      </c>
      <c r="AV287">
        <v>43</v>
      </c>
      <c r="AW287">
        <v>7</v>
      </c>
      <c r="AX287" t="s">
        <v>74</v>
      </c>
      <c r="AY287" t="s">
        <v>96</v>
      </c>
      <c r="AZ287" t="s">
        <v>74</v>
      </c>
      <c r="BA287" t="s">
        <v>74</v>
      </c>
      <c r="BB287" t="s">
        <v>2397</v>
      </c>
      <c r="BC287" t="s">
        <v>2397</v>
      </c>
      <c r="BD287" t="s">
        <v>74</v>
      </c>
      <c r="BE287" t="s">
        <v>74</v>
      </c>
      <c r="BF287" t="s">
        <v>74</v>
      </c>
      <c r="BG287" t="s">
        <v>74</v>
      </c>
      <c r="BH287" t="s">
        <v>74</v>
      </c>
      <c r="BI287">
        <v>1</v>
      </c>
      <c r="BJ287" t="s">
        <v>98</v>
      </c>
      <c r="BK287" t="s">
        <v>99</v>
      </c>
      <c r="BL287" t="s">
        <v>98</v>
      </c>
      <c r="BM287" t="s">
        <v>100</v>
      </c>
      <c r="BN287" t="s">
        <v>74</v>
      </c>
      <c r="BO287" t="s">
        <v>74</v>
      </c>
      <c r="BP287" t="s">
        <v>74</v>
      </c>
      <c r="BQ287" t="s">
        <v>74</v>
      </c>
      <c r="BR287" t="s">
        <v>101</v>
      </c>
      <c r="BS287" t="s">
        <v>2398</v>
      </c>
      <c r="BT287" t="str">
        <f>HYPERLINK("https%3A%2F%2Fwww.webofscience.com%2Fwos%2Fwoscc%2Ffull-record%2FWOS:000257683100295","View Full Record in Web of Science")</f>
        <v>View Full Record in Web of Science</v>
      </c>
    </row>
    <row r="288" spans="1:72" x14ac:dyDescent="0.15">
      <c r="A288" t="s">
        <v>72</v>
      </c>
      <c r="B288" t="s">
        <v>2399</v>
      </c>
      <c r="C288" t="s">
        <v>74</v>
      </c>
      <c r="D288" t="s">
        <v>74</v>
      </c>
      <c r="E288" t="s">
        <v>74</v>
      </c>
      <c r="F288" t="s">
        <v>2400</v>
      </c>
      <c r="G288" t="s">
        <v>74</v>
      </c>
      <c r="H288" t="s">
        <v>74</v>
      </c>
      <c r="I288" t="s">
        <v>2401</v>
      </c>
      <c r="J288" t="s">
        <v>77</v>
      </c>
      <c r="K288" t="s">
        <v>74</v>
      </c>
      <c r="L288" t="s">
        <v>74</v>
      </c>
      <c r="M288" t="s">
        <v>78</v>
      </c>
      <c r="N288" t="s">
        <v>52</v>
      </c>
      <c r="O288" t="s">
        <v>79</v>
      </c>
      <c r="P288" t="s">
        <v>80</v>
      </c>
      <c r="Q288" t="s">
        <v>81</v>
      </c>
      <c r="R288" t="s">
        <v>74</v>
      </c>
      <c r="S288" t="s">
        <v>82</v>
      </c>
      <c r="T288" t="s">
        <v>74</v>
      </c>
      <c r="U288" t="s">
        <v>74</v>
      </c>
      <c r="V288" t="s">
        <v>74</v>
      </c>
      <c r="W288" t="s">
        <v>2402</v>
      </c>
      <c r="X288" t="s">
        <v>2403</v>
      </c>
      <c r="Y288" t="s">
        <v>74</v>
      </c>
      <c r="Z288" t="s">
        <v>2404</v>
      </c>
      <c r="AA288" t="s">
        <v>2405</v>
      </c>
      <c r="AB288" t="s">
        <v>2406</v>
      </c>
      <c r="AC288" t="s">
        <v>74</v>
      </c>
      <c r="AD288" t="s">
        <v>74</v>
      </c>
      <c r="AE288" t="s">
        <v>74</v>
      </c>
      <c r="AF288" t="s">
        <v>74</v>
      </c>
      <c r="AG288">
        <v>3</v>
      </c>
      <c r="AH288">
        <v>3</v>
      </c>
      <c r="AI288">
        <v>3</v>
      </c>
      <c r="AJ288">
        <v>0</v>
      </c>
      <c r="AK288">
        <v>2</v>
      </c>
      <c r="AL288" t="s">
        <v>149</v>
      </c>
      <c r="AM288" t="s">
        <v>150</v>
      </c>
      <c r="AN288" t="s">
        <v>151</v>
      </c>
      <c r="AO288" t="s">
        <v>91</v>
      </c>
      <c r="AP288" t="s">
        <v>74</v>
      </c>
      <c r="AQ288" t="s">
        <v>74</v>
      </c>
      <c r="AR288" t="s">
        <v>93</v>
      </c>
      <c r="AS288" t="s">
        <v>94</v>
      </c>
      <c r="AT288" t="s">
        <v>95</v>
      </c>
      <c r="AU288">
        <v>2008</v>
      </c>
      <c r="AV288">
        <v>43</v>
      </c>
      <c r="AW288">
        <v>7</v>
      </c>
      <c r="AX288" t="s">
        <v>74</v>
      </c>
      <c r="AY288" t="s">
        <v>96</v>
      </c>
      <c r="AZ288" t="s">
        <v>74</v>
      </c>
      <c r="BA288" t="s">
        <v>74</v>
      </c>
      <c r="BB288" t="s">
        <v>2397</v>
      </c>
      <c r="BC288" t="s">
        <v>2397</v>
      </c>
      <c r="BD288" t="s">
        <v>74</v>
      </c>
      <c r="BE288" t="s">
        <v>74</v>
      </c>
      <c r="BF288" t="s">
        <v>74</v>
      </c>
      <c r="BG288" t="s">
        <v>74</v>
      </c>
      <c r="BH288" t="s">
        <v>74</v>
      </c>
      <c r="BI288">
        <v>1</v>
      </c>
      <c r="BJ288" t="s">
        <v>98</v>
      </c>
      <c r="BK288" t="s">
        <v>99</v>
      </c>
      <c r="BL288" t="s">
        <v>98</v>
      </c>
      <c r="BM288" t="s">
        <v>100</v>
      </c>
      <c r="BN288" t="s">
        <v>74</v>
      </c>
      <c r="BO288" t="s">
        <v>74</v>
      </c>
      <c r="BP288" t="s">
        <v>74</v>
      </c>
      <c r="BQ288" t="s">
        <v>74</v>
      </c>
      <c r="BR288" t="s">
        <v>101</v>
      </c>
      <c r="BS288" t="s">
        <v>2407</v>
      </c>
      <c r="BT288" t="str">
        <f>HYPERLINK("https%3A%2F%2Fwww.webofscience.com%2Fwos%2Fwoscc%2Ffull-record%2FWOS:000257683100296","View Full Record in Web of Science")</f>
        <v>View Full Record in Web of Science</v>
      </c>
    </row>
    <row r="289" spans="1:72" x14ac:dyDescent="0.15">
      <c r="A289" t="s">
        <v>72</v>
      </c>
      <c r="B289" t="s">
        <v>2408</v>
      </c>
      <c r="C289" t="s">
        <v>74</v>
      </c>
      <c r="D289" t="s">
        <v>74</v>
      </c>
      <c r="E289" t="s">
        <v>74</v>
      </c>
      <c r="F289" t="s">
        <v>2409</v>
      </c>
      <c r="G289" t="s">
        <v>74</v>
      </c>
      <c r="H289" t="s">
        <v>74</v>
      </c>
      <c r="I289" t="s">
        <v>2410</v>
      </c>
      <c r="J289" t="s">
        <v>77</v>
      </c>
      <c r="K289" t="s">
        <v>74</v>
      </c>
      <c r="L289" t="s">
        <v>74</v>
      </c>
      <c r="M289" t="s">
        <v>78</v>
      </c>
      <c r="N289" t="s">
        <v>52</v>
      </c>
      <c r="O289" t="s">
        <v>79</v>
      </c>
      <c r="P289" t="s">
        <v>80</v>
      </c>
      <c r="Q289" t="s">
        <v>81</v>
      </c>
      <c r="R289" t="s">
        <v>74</v>
      </c>
      <c r="S289" t="s">
        <v>82</v>
      </c>
      <c r="T289" t="s">
        <v>74</v>
      </c>
      <c r="U289" t="s">
        <v>2411</v>
      </c>
      <c r="V289" t="s">
        <v>74</v>
      </c>
      <c r="W289" t="s">
        <v>2412</v>
      </c>
      <c r="X289" t="s">
        <v>2413</v>
      </c>
      <c r="Y289" t="s">
        <v>74</v>
      </c>
      <c r="Z289" t="s">
        <v>2414</v>
      </c>
      <c r="AA289" t="s">
        <v>2415</v>
      </c>
      <c r="AB289" t="s">
        <v>2416</v>
      </c>
      <c r="AC289" t="s">
        <v>74</v>
      </c>
      <c r="AD289" t="s">
        <v>74</v>
      </c>
      <c r="AE289" t="s">
        <v>74</v>
      </c>
      <c r="AF289" t="s">
        <v>74</v>
      </c>
      <c r="AG289">
        <v>8</v>
      </c>
      <c r="AH289">
        <v>1</v>
      </c>
      <c r="AI289">
        <v>1</v>
      </c>
      <c r="AJ289">
        <v>0</v>
      </c>
      <c r="AK289">
        <v>2</v>
      </c>
      <c r="AL289" t="s">
        <v>88</v>
      </c>
      <c r="AM289" t="s">
        <v>89</v>
      </c>
      <c r="AN289" t="s">
        <v>90</v>
      </c>
      <c r="AO289" t="s">
        <v>91</v>
      </c>
      <c r="AP289" t="s">
        <v>92</v>
      </c>
      <c r="AQ289" t="s">
        <v>74</v>
      </c>
      <c r="AR289" t="s">
        <v>93</v>
      </c>
      <c r="AS289" t="s">
        <v>94</v>
      </c>
      <c r="AT289" t="s">
        <v>95</v>
      </c>
      <c r="AU289">
        <v>2008</v>
      </c>
      <c r="AV289">
        <v>43</v>
      </c>
      <c r="AW289">
        <v>7</v>
      </c>
      <c r="AX289" t="s">
        <v>74</v>
      </c>
      <c r="AY289" t="s">
        <v>96</v>
      </c>
      <c r="AZ289" t="s">
        <v>74</v>
      </c>
      <c r="BA289" t="s">
        <v>74</v>
      </c>
      <c r="BB289" t="s">
        <v>2417</v>
      </c>
      <c r="BC289" t="s">
        <v>2417</v>
      </c>
      <c r="BD289" t="s">
        <v>74</v>
      </c>
      <c r="BE289" t="s">
        <v>74</v>
      </c>
      <c r="BF289" t="s">
        <v>74</v>
      </c>
      <c r="BG289" t="s">
        <v>74</v>
      </c>
      <c r="BH289" t="s">
        <v>74</v>
      </c>
      <c r="BI289">
        <v>1</v>
      </c>
      <c r="BJ289" t="s">
        <v>98</v>
      </c>
      <c r="BK289" t="s">
        <v>99</v>
      </c>
      <c r="BL289" t="s">
        <v>98</v>
      </c>
      <c r="BM289" t="s">
        <v>100</v>
      </c>
      <c r="BN289" t="s">
        <v>74</v>
      </c>
      <c r="BO289" t="s">
        <v>74</v>
      </c>
      <c r="BP289" t="s">
        <v>74</v>
      </c>
      <c r="BQ289" t="s">
        <v>74</v>
      </c>
      <c r="BR289" t="s">
        <v>101</v>
      </c>
      <c r="BS289" t="s">
        <v>2418</v>
      </c>
      <c r="BT289" t="str">
        <f>HYPERLINK("https%3A%2F%2Fwww.webofscience.com%2Fwos%2Fwoscc%2Ffull-record%2FWOS:000257683100297","View Full Record in Web of Science")</f>
        <v>View Full Record in Web of Science</v>
      </c>
    </row>
    <row r="290" spans="1:72" x14ac:dyDescent="0.15">
      <c r="A290" t="s">
        <v>72</v>
      </c>
      <c r="B290" t="s">
        <v>2419</v>
      </c>
      <c r="C290" t="s">
        <v>74</v>
      </c>
      <c r="D290" t="s">
        <v>74</v>
      </c>
      <c r="E290" t="s">
        <v>74</v>
      </c>
      <c r="F290" t="s">
        <v>2420</v>
      </c>
      <c r="G290" t="s">
        <v>74</v>
      </c>
      <c r="H290" t="s">
        <v>74</v>
      </c>
      <c r="I290" t="s">
        <v>2421</v>
      </c>
      <c r="J290" t="s">
        <v>77</v>
      </c>
      <c r="K290" t="s">
        <v>74</v>
      </c>
      <c r="L290" t="s">
        <v>74</v>
      </c>
      <c r="M290" t="s">
        <v>78</v>
      </c>
      <c r="N290" t="s">
        <v>52</v>
      </c>
      <c r="O290" t="s">
        <v>79</v>
      </c>
      <c r="P290" t="s">
        <v>80</v>
      </c>
      <c r="Q290" t="s">
        <v>81</v>
      </c>
      <c r="R290" t="s">
        <v>74</v>
      </c>
      <c r="S290" t="s">
        <v>82</v>
      </c>
      <c r="T290" t="s">
        <v>74</v>
      </c>
      <c r="U290" t="s">
        <v>74</v>
      </c>
      <c r="V290" t="s">
        <v>74</v>
      </c>
      <c r="W290" t="s">
        <v>2422</v>
      </c>
      <c r="X290" t="s">
        <v>2423</v>
      </c>
      <c r="Y290" t="s">
        <v>74</v>
      </c>
      <c r="Z290" t="s">
        <v>2424</v>
      </c>
      <c r="AA290" t="s">
        <v>2425</v>
      </c>
      <c r="AB290" t="s">
        <v>2426</v>
      </c>
      <c r="AC290" t="s">
        <v>74</v>
      </c>
      <c r="AD290" t="s">
        <v>74</v>
      </c>
      <c r="AE290" t="s">
        <v>74</v>
      </c>
      <c r="AF290" t="s">
        <v>74</v>
      </c>
      <c r="AG290">
        <v>4</v>
      </c>
      <c r="AH290">
        <v>1</v>
      </c>
      <c r="AI290">
        <v>1</v>
      </c>
      <c r="AJ290">
        <v>0</v>
      </c>
      <c r="AK290">
        <v>3</v>
      </c>
      <c r="AL290" t="s">
        <v>109</v>
      </c>
      <c r="AM290" t="s">
        <v>110</v>
      </c>
      <c r="AN290" t="s">
        <v>111</v>
      </c>
      <c r="AO290" t="s">
        <v>91</v>
      </c>
      <c r="AP290" t="s">
        <v>74</v>
      </c>
      <c r="AQ290" t="s">
        <v>74</v>
      </c>
      <c r="AR290" t="s">
        <v>93</v>
      </c>
      <c r="AS290" t="s">
        <v>94</v>
      </c>
      <c r="AT290" t="s">
        <v>95</v>
      </c>
      <c r="AU290">
        <v>2008</v>
      </c>
      <c r="AV290">
        <v>43</v>
      </c>
      <c r="AW290">
        <v>7</v>
      </c>
      <c r="AX290" t="s">
        <v>74</v>
      </c>
      <c r="AY290" t="s">
        <v>96</v>
      </c>
      <c r="AZ290" t="s">
        <v>74</v>
      </c>
      <c r="BA290" t="s">
        <v>74</v>
      </c>
      <c r="BB290" t="s">
        <v>2427</v>
      </c>
      <c r="BC290" t="s">
        <v>2427</v>
      </c>
      <c r="BD290" t="s">
        <v>74</v>
      </c>
      <c r="BE290" t="s">
        <v>74</v>
      </c>
      <c r="BF290" t="s">
        <v>74</v>
      </c>
      <c r="BG290" t="s">
        <v>74</v>
      </c>
      <c r="BH290" t="s">
        <v>74</v>
      </c>
      <c r="BI290">
        <v>1</v>
      </c>
      <c r="BJ290" t="s">
        <v>98</v>
      </c>
      <c r="BK290" t="s">
        <v>113</v>
      </c>
      <c r="BL290" t="s">
        <v>98</v>
      </c>
      <c r="BM290" t="s">
        <v>100</v>
      </c>
      <c r="BN290" t="s">
        <v>74</v>
      </c>
      <c r="BO290" t="s">
        <v>74</v>
      </c>
      <c r="BP290" t="s">
        <v>74</v>
      </c>
      <c r="BQ290" t="s">
        <v>74</v>
      </c>
      <c r="BR290" t="s">
        <v>101</v>
      </c>
      <c r="BS290" t="s">
        <v>2428</v>
      </c>
      <c r="BT290" t="str">
        <f>HYPERLINK("https%3A%2F%2Fwww.webofscience.com%2Fwos%2Fwoscc%2Ffull-record%2FWOS:000257683100299","View Full Record in Web of Science")</f>
        <v>View Full Record in Web of Science</v>
      </c>
    </row>
    <row r="291" spans="1:72" x14ac:dyDescent="0.15">
      <c r="A291" t="s">
        <v>72</v>
      </c>
      <c r="B291" t="s">
        <v>2429</v>
      </c>
      <c r="C291" t="s">
        <v>74</v>
      </c>
      <c r="D291" t="s">
        <v>74</v>
      </c>
      <c r="E291" t="s">
        <v>74</v>
      </c>
      <c r="F291" t="s">
        <v>2430</v>
      </c>
      <c r="G291" t="s">
        <v>74</v>
      </c>
      <c r="H291" t="s">
        <v>74</v>
      </c>
      <c r="I291" t="s">
        <v>2431</v>
      </c>
      <c r="J291" t="s">
        <v>77</v>
      </c>
      <c r="K291" t="s">
        <v>74</v>
      </c>
      <c r="L291" t="s">
        <v>74</v>
      </c>
      <c r="M291" t="s">
        <v>78</v>
      </c>
      <c r="N291" t="s">
        <v>52</v>
      </c>
      <c r="O291" t="s">
        <v>79</v>
      </c>
      <c r="P291" t="s">
        <v>80</v>
      </c>
      <c r="Q291" t="s">
        <v>81</v>
      </c>
      <c r="R291" t="s">
        <v>74</v>
      </c>
      <c r="S291" t="s">
        <v>82</v>
      </c>
      <c r="T291" t="s">
        <v>74</v>
      </c>
      <c r="U291" t="s">
        <v>74</v>
      </c>
      <c r="V291" t="s">
        <v>74</v>
      </c>
      <c r="W291" t="s">
        <v>2432</v>
      </c>
      <c r="X291" t="s">
        <v>425</v>
      </c>
      <c r="Y291" t="s">
        <v>74</v>
      </c>
      <c r="Z291" t="s">
        <v>2424</v>
      </c>
      <c r="AA291" t="s">
        <v>2433</v>
      </c>
      <c r="AB291" t="s">
        <v>2434</v>
      </c>
      <c r="AC291" t="s">
        <v>74</v>
      </c>
      <c r="AD291" t="s">
        <v>74</v>
      </c>
      <c r="AE291" t="s">
        <v>74</v>
      </c>
      <c r="AF291" t="s">
        <v>74</v>
      </c>
      <c r="AG291">
        <v>4</v>
      </c>
      <c r="AH291">
        <v>0</v>
      </c>
      <c r="AI291">
        <v>0</v>
      </c>
      <c r="AJ291">
        <v>0</v>
      </c>
      <c r="AK291">
        <v>1</v>
      </c>
      <c r="AL291" t="s">
        <v>109</v>
      </c>
      <c r="AM291" t="s">
        <v>110</v>
      </c>
      <c r="AN291" t="s">
        <v>111</v>
      </c>
      <c r="AO291" t="s">
        <v>91</v>
      </c>
      <c r="AP291" t="s">
        <v>74</v>
      </c>
      <c r="AQ291" t="s">
        <v>74</v>
      </c>
      <c r="AR291" t="s">
        <v>93</v>
      </c>
      <c r="AS291" t="s">
        <v>94</v>
      </c>
      <c r="AT291" t="s">
        <v>95</v>
      </c>
      <c r="AU291">
        <v>2008</v>
      </c>
      <c r="AV291">
        <v>43</v>
      </c>
      <c r="AW291">
        <v>7</v>
      </c>
      <c r="AX291" t="s">
        <v>74</v>
      </c>
      <c r="AY291" t="s">
        <v>96</v>
      </c>
      <c r="AZ291" t="s">
        <v>74</v>
      </c>
      <c r="BA291" t="s">
        <v>74</v>
      </c>
      <c r="BB291" t="s">
        <v>2417</v>
      </c>
      <c r="BC291" t="s">
        <v>2417</v>
      </c>
      <c r="BD291" t="s">
        <v>74</v>
      </c>
      <c r="BE291" t="s">
        <v>74</v>
      </c>
      <c r="BF291" t="s">
        <v>74</v>
      </c>
      <c r="BG291" t="s">
        <v>74</v>
      </c>
      <c r="BH291" t="s">
        <v>74</v>
      </c>
      <c r="BI291">
        <v>1</v>
      </c>
      <c r="BJ291" t="s">
        <v>98</v>
      </c>
      <c r="BK291" t="s">
        <v>113</v>
      </c>
      <c r="BL291" t="s">
        <v>98</v>
      </c>
      <c r="BM291" t="s">
        <v>100</v>
      </c>
      <c r="BN291" t="s">
        <v>74</v>
      </c>
      <c r="BO291" t="s">
        <v>74</v>
      </c>
      <c r="BP291" t="s">
        <v>74</v>
      </c>
      <c r="BQ291" t="s">
        <v>74</v>
      </c>
      <c r="BR291" t="s">
        <v>101</v>
      </c>
      <c r="BS291" t="s">
        <v>2435</v>
      </c>
      <c r="BT291" t="str">
        <f>HYPERLINK("https%3A%2F%2Fwww.webofscience.com%2Fwos%2Fwoscc%2Ffull-record%2FWOS:000257683100298","View Full Record in Web of Science")</f>
        <v>View Full Record in Web of Science</v>
      </c>
    </row>
    <row r="292" spans="1:72" x14ac:dyDescent="0.15">
      <c r="A292" t="s">
        <v>72</v>
      </c>
      <c r="B292" t="s">
        <v>2436</v>
      </c>
      <c r="C292" t="s">
        <v>74</v>
      </c>
      <c r="D292" t="s">
        <v>74</v>
      </c>
      <c r="E292" t="s">
        <v>74</v>
      </c>
      <c r="F292" t="s">
        <v>2437</v>
      </c>
      <c r="G292" t="s">
        <v>74</v>
      </c>
      <c r="H292" t="s">
        <v>74</v>
      </c>
      <c r="I292" t="s">
        <v>2438</v>
      </c>
      <c r="J292" t="s">
        <v>77</v>
      </c>
      <c r="K292" t="s">
        <v>74</v>
      </c>
      <c r="L292" t="s">
        <v>74</v>
      </c>
      <c r="M292" t="s">
        <v>78</v>
      </c>
      <c r="N292" t="s">
        <v>52</v>
      </c>
      <c r="O292" t="s">
        <v>79</v>
      </c>
      <c r="P292" t="s">
        <v>80</v>
      </c>
      <c r="Q292" t="s">
        <v>81</v>
      </c>
      <c r="R292" t="s">
        <v>74</v>
      </c>
      <c r="S292" t="s">
        <v>82</v>
      </c>
      <c r="T292" t="s">
        <v>74</v>
      </c>
      <c r="U292" t="s">
        <v>74</v>
      </c>
      <c r="V292" t="s">
        <v>74</v>
      </c>
      <c r="W292" t="s">
        <v>2439</v>
      </c>
      <c r="X292" t="s">
        <v>108</v>
      </c>
      <c r="Y292" t="s">
        <v>74</v>
      </c>
      <c r="Z292" t="s">
        <v>2440</v>
      </c>
      <c r="AA292" t="s">
        <v>74</v>
      </c>
      <c r="AB292" t="s">
        <v>74</v>
      </c>
      <c r="AC292" t="s">
        <v>74</v>
      </c>
      <c r="AD292" t="s">
        <v>74</v>
      </c>
      <c r="AE292" t="s">
        <v>74</v>
      </c>
      <c r="AF292" t="s">
        <v>74</v>
      </c>
      <c r="AG292">
        <v>5</v>
      </c>
      <c r="AH292">
        <v>1</v>
      </c>
      <c r="AI292">
        <v>2</v>
      </c>
      <c r="AJ292">
        <v>0</v>
      </c>
      <c r="AK292">
        <v>0</v>
      </c>
      <c r="AL292" t="s">
        <v>88</v>
      </c>
      <c r="AM292" t="s">
        <v>89</v>
      </c>
      <c r="AN292" t="s">
        <v>90</v>
      </c>
      <c r="AO292" t="s">
        <v>91</v>
      </c>
      <c r="AP292" t="s">
        <v>92</v>
      </c>
      <c r="AQ292" t="s">
        <v>74</v>
      </c>
      <c r="AR292" t="s">
        <v>93</v>
      </c>
      <c r="AS292" t="s">
        <v>94</v>
      </c>
      <c r="AT292" t="s">
        <v>95</v>
      </c>
      <c r="AU292">
        <v>2008</v>
      </c>
      <c r="AV292">
        <v>43</v>
      </c>
      <c r="AW292">
        <v>7</v>
      </c>
      <c r="AX292" t="s">
        <v>74</v>
      </c>
      <c r="AY292" t="s">
        <v>96</v>
      </c>
      <c r="AZ292" t="s">
        <v>74</v>
      </c>
      <c r="BA292" t="s">
        <v>74</v>
      </c>
      <c r="BB292" t="s">
        <v>2427</v>
      </c>
      <c r="BC292" t="s">
        <v>2427</v>
      </c>
      <c r="BD292" t="s">
        <v>74</v>
      </c>
      <c r="BE292" t="s">
        <v>74</v>
      </c>
      <c r="BF292" t="s">
        <v>74</v>
      </c>
      <c r="BG292" t="s">
        <v>74</v>
      </c>
      <c r="BH292" t="s">
        <v>74</v>
      </c>
      <c r="BI292">
        <v>1</v>
      </c>
      <c r="BJ292" t="s">
        <v>98</v>
      </c>
      <c r="BK292" t="s">
        <v>99</v>
      </c>
      <c r="BL292" t="s">
        <v>98</v>
      </c>
      <c r="BM292" t="s">
        <v>100</v>
      </c>
      <c r="BN292" t="s">
        <v>74</v>
      </c>
      <c r="BO292" t="s">
        <v>74</v>
      </c>
      <c r="BP292" t="s">
        <v>74</v>
      </c>
      <c r="BQ292" t="s">
        <v>74</v>
      </c>
      <c r="BR292" t="s">
        <v>101</v>
      </c>
      <c r="BS292" t="s">
        <v>2441</v>
      </c>
      <c r="BT292" t="str">
        <f>HYPERLINK("https%3A%2F%2Fwww.webofscience.com%2Fwos%2Fwoscc%2Ffull-record%2FWOS:000257683100300","View Full Record in Web of Science")</f>
        <v>View Full Record in Web of Science</v>
      </c>
    </row>
    <row r="293" spans="1:72" x14ac:dyDescent="0.15">
      <c r="A293" t="s">
        <v>72</v>
      </c>
      <c r="B293" t="s">
        <v>2442</v>
      </c>
      <c r="C293" t="s">
        <v>74</v>
      </c>
      <c r="D293" t="s">
        <v>74</v>
      </c>
      <c r="E293" t="s">
        <v>74</v>
      </c>
      <c r="F293" t="s">
        <v>2443</v>
      </c>
      <c r="G293" t="s">
        <v>74</v>
      </c>
      <c r="H293" t="s">
        <v>74</v>
      </c>
      <c r="I293" t="s">
        <v>2444</v>
      </c>
      <c r="J293" t="s">
        <v>77</v>
      </c>
      <c r="K293" t="s">
        <v>74</v>
      </c>
      <c r="L293" t="s">
        <v>74</v>
      </c>
      <c r="M293" t="s">
        <v>78</v>
      </c>
      <c r="N293" t="s">
        <v>52</v>
      </c>
      <c r="O293" t="s">
        <v>79</v>
      </c>
      <c r="P293" t="s">
        <v>80</v>
      </c>
      <c r="Q293" t="s">
        <v>81</v>
      </c>
      <c r="R293" t="s">
        <v>74</v>
      </c>
      <c r="S293" t="s">
        <v>82</v>
      </c>
      <c r="T293" t="s">
        <v>74</v>
      </c>
      <c r="U293" t="s">
        <v>2445</v>
      </c>
      <c r="V293" t="s">
        <v>74</v>
      </c>
      <c r="W293" t="s">
        <v>2446</v>
      </c>
      <c r="X293" t="s">
        <v>1035</v>
      </c>
      <c r="Y293" t="s">
        <v>74</v>
      </c>
      <c r="Z293" t="s">
        <v>2447</v>
      </c>
      <c r="AA293" t="s">
        <v>74</v>
      </c>
      <c r="AB293" t="s">
        <v>74</v>
      </c>
      <c r="AC293" t="s">
        <v>74</v>
      </c>
      <c r="AD293" t="s">
        <v>74</v>
      </c>
      <c r="AE293" t="s">
        <v>74</v>
      </c>
      <c r="AF293" t="s">
        <v>74</v>
      </c>
      <c r="AG293">
        <v>6</v>
      </c>
      <c r="AH293">
        <v>1</v>
      </c>
      <c r="AI293">
        <v>1</v>
      </c>
      <c r="AJ293">
        <v>0</v>
      </c>
      <c r="AK293">
        <v>0</v>
      </c>
      <c r="AL293" t="s">
        <v>109</v>
      </c>
      <c r="AM293" t="s">
        <v>110</v>
      </c>
      <c r="AN293" t="s">
        <v>111</v>
      </c>
      <c r="AO293" t="s">
        <v>91</v>
      </c>
      <c r="AP293" t="s">
        <v>74</v>
      </c>
      <c r="AQ293" t="s">
        <v>74</v>
      </c>
      <c r="AR293" t="s">
        <v>93</v>
      </c>
      <c r="AS293" t="s">
        <v>94</v>
      </c>
      <c r="AT293" t="s">
        <v>95</v>
      </c>
      <c r="AU293">
        <v>2008</v>
      </c>
      <c r="AV293">
        <v>43</v>
      </c>
      <c r="AW293">
        <v>7</v>
      </c>
      <c r="AX293" t="s">
        <v>74</v>
      </c>
      <c r="AY293" t="s">
        <v>96</v>
      </c>
      <c r="AZ293" t="s">
        <v>74</v>
      </c>
      <c r="BA293" t="s">
        <v>74</v>
      </c>
      <c r="BB293" t="s">
        <v>2448</v>
      </c>
      <c r="BC293" t="s">
        <v>2448</v>
      </c>
      <c r="BD293" t="s">
        <v>74</v>
      </c>
      <c r="BE293" t="s">
        <v>74</v>
      </c>
      <c r="BF293" t="s">
        <v>74</v>
      </c>
      <c r="BG293" t="s">
        <v>74</v>
      </c>
      <c r="BH293" t="s">
        <v>74</v>
      </c>
      <c r="BI293">
        <v>1</v>
      </c>
      <c r="BJ293" t="s">
        <v>98</v>
      </c>
      <c r="BK293" t="s">
        <v>113</v>
      </c>
      <c r="BL293" t="s">
        <v>98</v>
      </c>
      <c r="BM293" t="s">
        <v>100</v>
      </c>
      <c r="BN293" t="s">
        <v>74</v>
      </c>
      <c r="BO293" t="s">
        <v>74</v>
      </c>
      <c r="BP293" t="s">
        <v>74</v>
      </c>
      <c r="BQ293" t="s">
        <v>74</v>
      </c>
      <c r="BR293" t="s">
        <v>101</v>
      </c>
      <c r="BS293" t="s">
        <v>2449</v>
      </c>
      <c r="BT293" t="str">
        <f>HYPERLINK("https%3A%2F%2Fwww.webofscience.com%2Fwos%2Fwoscc%2Ffull-record%2FWOS:000257683100301","View Full Record in Web of Science")</f>
        <v>View Full Record in Web of Science</v>
      </c>
    </row>
    <row r="294" spans="1:72" x14ac:dyDescent="0.15">
      <c r="A294" t="s">
        <v>72</v>
      </c>
      <c r="B294" t="s">
        <v>2450</v>
      </c>
      <c r="C294" t="s">
        <v>74</v>
      </c>
      <c r="D294" t="s">
        <v>74</v>
      </c>
      <c r="E294" t="s">
        <v>74</v>
      </c>
      <c r="F294" t="s">
        <v>2451</v>
      </c>
      <c r="G294" t="s">
        <v>74</v>
      </c>
      <c r="H294" t="s">
        <v>74</v>
      </c>
      <c r="I294" t="s">
        <v>2452</v>
      </c>
      <c r="J294" t="s">
        <v>77</v>
      </c>
      <c r="K294" t="s">
        <v>74</v>
      </c>
      <c r="L294" t="s">
        <v>74</v>
      </c>
      <c r="M294" t="s">
        <v>78</v>
      </c>
      <c r="N294" t="s">
        <v>52</v>
      </c>
      <c r="O294" t="s">
        <v>79</v>
      </c>
      <c r="P294" t="s">
        <v>80</v>
      </c>
      <c r="Q294" t="s">
        <v>81</v>
      </c>
      <c r="R294" t="s">
        <v>74</v>
      </c>
      <c r="S294" t="s">
        <v>82</v>
      </c>
      <c r="T294" t="s">
        <v>74</v>
      </c>
      <c r="U294" t="s">
        <v>2453</v>
      </c>
      <c r="V294" t="s">
        <v>74</v>
      </c>
      <c r="W294" t="s">
        <v>2454</v>
      </c>
      <c r="X294" t="s">
        <v>1276</v>
      </c>
      <c r="Y294" t="s">
        <v>74</v>
      </c>
      <c r="Z294" t="s">
        <v>2455</v>
      </c>
      <c r="AA294" t="s">
        <v>2456</v>
      </c>
      <c r="AB294" t="s">
        <v>74</v>
      </c>
      <c r="AC294" t="s">
        <v>74</v>
      </c>
      <c r="AD294" t="s">
        <v>74</v>
      </c>
      <c r="AE294" t="s">
        <v>74</v>
      </c>
      <c r="AF294" t="s">
        <v>74</v>
      </c>
      <c r="AG294">
        <v>8</v>
      </c>
      <c r="AH294">
        <v>1</v>
      </c>
      <c r="AI294">
        <v>1</v>
      </c>
      <c r="AJ294">
        <v>0</v>
      </c>
      <c r="AK294">
        <v>6</v>
      </c>
      <c r="AL294" t="s">
        <v>88</v>
      </c>
      <c r="AM294" t="s">
        <v>89</v>
      </c>
      <c r="AN294" t="s">
        <v>90</v>
      </c>
      <c r="AO294" t="s">
        <v>91</v>
      </c>
      <c r="AP294" t="s">
        <v>92</v>
      </c>
      <c r="AQ294" t="s">
        <v>74</v>
      </c>
      <c r="AR294" t="s">
        <v>93</v>
      </c>
      <c r="AS294" t="s">
        <v>94</v>
      </c>
      <c r="AT294" t="s">
        <v>95</v>
      </c>
      <c r="AU294">
        <v>2008</v>
      </c>
      <c r="AV294">
        <v>43</v>
      </c>
      <c r="AW294">
        <v>7</v>
      </c>
      <c r="AX294" t="s">
        <v>74</v>
      </c>
      <c r="AY294" t="s">
        <v>96</v>
      </c>
      <c r="AZ294" t="s">
        <v>74</v>
      </c>
      <c r="BA294" t="s">
        <v>74</v>
      </c>
      <c r="BB294" t="s">
        <v>2448</v>
      </c>
      <c r="BC294" t="s">
        <v>2448</v>
      </c>
      <c r="BD294" t="s">
        <v>74</v>
      </c>
      <c r="BE294" t="s">
        <v>74</v>
      </c>
      <c r="BF294" t="s">
        <v>74</v>
      </c>
      <c r="BG294" t="s">
        <v>74</v>
      </c>
      <c r="BH294" t="s">
        <v>74</v>
      </c>
      <c r="BI294">
        <v>1</v>
      </c>
      <c r="BJ294" t="s">
        <v>98</v>
      </c>
      <c r="BK294" t="s">
        <v>99</v>
      </c>
      <c r="BL294" t="s">
        <v>98</v>
      </c>
      <c r="BM294" t="s">
        <v>100</v>
      </c>
      <c r="BN294" t="s">
        <v>74</v>
      </c>
      <c r="BO294" t="s">
        <v>74</v>
      </c>
      <c r="BP294" t="s">
        <v>74</v>
      </c>
      <c r="BQ294" t="s">
        <v>74</v>
      </c>
      <c r="BR294" t="s">
        <v>101</v>
      </c>
      <c r="BS294" t="s">
        <v>2457</v>
      </c>
      <c r="BT294" t="str">
        <f>HYPERLINK("https%3A%2F%2Fwww.webofscience.com%2Fwos%2Fwoscc%2Ffull-record%2FWOS:000257683100302","View Full Record in Web of Science")</f>
        <v>View Full Record in Web of Science</v>
      </c>
    </row>
    <row r="295" spans="1:72" x14ac:dyDescent="0.15">
      <c r="A295" t="s">
        <v>72</v>
      </c>
      <c r="B295" t="s">
        <v>2458</v>
      </c>
      <c r="C295" t="s">
        <v>74</v>
      </c>
      <c r="D295" t="s">
        <v>74</v>
      </c>
      <c r="E295" t="s">
        <v>74</v>
      </c>
      <c r="F295" t="s">
        <v>2459</v>
      </c>
      <c r="G295" t="s">
        <v>74</v>
      </c>
      <c r="H295" t="s">
        <v>74</v>
      </c>
      <c r="I295" t="s">
        <v>2460</v>
      </c>
      <c r="J295" t="s">
        <v>77</v>
      </c>
      <c r="K295" t="s">
        <v>74</v>
      </c>
      <c r="L295" t="s">
        <v>74</v>
      </c>
      <c r="M295" t="s">
        <v>78</v>
      </c>
      <c r="N295" t="s">
        <v>52</v>
      </c>
      <c r="O295" t="s">
        <v>79</v>
      </c>
      <c r="P295" t="s">
        <v>80</v>
      </c>
      <c r="Q295" t="s">
        <v>81</v>
      </c>
      <c r="R295" t="s">
        <v>74</v>
      </c>
      <c r="S295" t="s">
        <v>82</v>
      </c>
      <c r="T295" t="s">
        <v>74</v>
      </c>
      <c r="U295" t="s">
        <v>74</v>
      </c>
      <c r="V295" t="s">
        <v>74</v>
      </c>
      <c r="W295" t="s">
        <v>2461</v>
      </c>
      <c r="X295" t="s">
        <v>2462</v>
      </c>
      <c r="Y295" t="s">
        <v>74</v>
      </c>
      <c r="Z295" t="s">
        <v>2463</v>
      </c>
      <c r="AA295" t="s">
        <v>2464</v>
      </c>
      <c r="AB295" t="s">
        <v>74</v>
      </c>
      <c r="AC295" t="s">
        <v>74</v>
      </c>
      <c r="AD295" t="s">
        <v>74</v>
      </c>
      <c r="AE295" t="s">
        <v>74</v>
      </c>
      <c r="AF295" t="s">
        <v>74</v>
      </c>
      <c r="AG295">
        <v>5</v>
      </c>
      <c r="AH295">
        <v>0</v>
      </c>
      <c r="AI295">
        <v>0</v>
      </c>
      <c r="AJ295">
        <v>0</v>
      </c>
      <c r="AK295">
        <v>1</v>
      </c>
      <c r="AL295" t="s">
        <v>88</v>
      </c>
      <c r="AM295" t="s">
        <v>89</v>
      </c>
      <c r="AN295" t="s">
        <v>90</v>
      </c>
      <c r="AO295" t="s">
        <v>91</v>
      </c>
      <c r="AP295" t="s">
        <v>92</v>
      </c>
      <c r="AQ295" t="s">
        <v>74</v>
      </c>
      <c r="AR295" t="s">
        <v>93</v>
      </c>
      <c r="AS295" t="s">
        <v>94</v>
      </c>
      <c r="AT295" t="s">
        <v>95</v>
      </c>
      <c r="AU295">
        <v>2008</v>
      </c>
      <c r="AV295">
        <v>43</v>
      </c>
      <c r="AW295">
        <v>7</v>
      </c>
      <c r="AX295" t="s">
        <v>74</v>
      </c>
      <c r="AY295" t="s">
        <v>96</v>
      </c>
      <c r="AZ295" t="s">
        <v>74</v>
      </c>
      <c r="BA295" t="s">
        <v>74</v>
      </c>
      <c r="BB295" t="s">
        <v>2465</v>
      </c>
      <c r="BC295" t="s">
        <v>2465</v>
      </c>
      <c r="BD295" t="s">
        <v>74</v>
      </c>
      <c r="BE295" t="s">
        <v>74</v>
      </c>
      <c r="BF295" t="s">
        <v>74</v>
      </c>
      <c r="BG295" t="s">
        <v>74</v>
      </c>
      <c r="BH295" t="s">
        <v>74</v>
      </c>
      <c r="BI295">
        <v>1</v>
      </c>
      <c r="BJ295" t="s">
        <v>98</v>
      </c>
      <c r="BK295" t="s">
        <v>99</v>
      </c>
      <c r="BL295" t="s">
        <v>98</v>
      </c>
      <c r="BM295" t="s">
        <v>100</v>
      </c>
      <c r="BN295" t="s">
        <v>74</v>
      </c>
      <c r="BO295" t="s">
        <v>74</v>
      </c>
      <c r="BP295" t="s">
        <v>74</v>
      </c>
      <c r="BQ295" t="s">
        <v>74</v>
      </c>
      <c r="BR295" t="s">
        <v>101</v>
      </c>
      <c r="BS295" t="s">
        <v>2466</v>
      </c>
      <c r="BT295" t="str">
        <f>HYPERLINK("https%3A%2F%2Fwww.webofscience.com%2Fwos%2Fwoscc%2Ffull-record%2FWOS:000257683100303","View Full Record in Web of Science")</f>
        <v>View Full Record in Web of Science</v>
      </c>
    </row>
    <row r="296" spans="1:72" x14ac:dyDescent="0.15">
      <c r="A296" t="s">
        <v>72</v>
      </c>
      <c r="B296" t="s">
        <v>2467</v>
      </c>
      <c r="C296" t="s">
        <v>74</v>
      </c>
      <c r="D296" t="s">
        <v>74</v>
      </c>
      <c r="E296" t="s">
        <v>74</v>
      </c>
      <c r="F296" t="s">
        <v>2468</v>
      </c>
      <c r="G296" t="s">
        <v>74</v>
      </c>
      <c r="H296" t="s">
        <v>74</v>
      </c>
      <c r="I296" t="s">
        <v>2469</v>
      </c>
      <c r="J296" t="s">
        <v>77</v>
      </c>
      <c r="K296" t="s">
        <v>74</v>
      </c>
      <c r="L296" t="s">
        <v>74</v>
      </c>
      <c r="M296" t="s">
        <v>78</v>
      </c>
      <c r="N296" t="s">
        <v>52</v>
      </c>
      <c r="O296" t="s">
        <v>79</v>
      </c>
      <c r="P296" t="s">
        <v>80</v>
      </c>
      <c r="Q296" t="s">
        <v>81</v>
      </c>
      <c r="R296" t="s">
        <v>74</v>
      </c>
      <c r="S296" t="s">
        <v>82</v>
      </c>
      <c r="T296" t="s">
        <v>74</v>
      </c>
      <c r="U296" t="s">
        <v>74</v>
      </c>
      <c r="V296" t="s">
        <v>74</v>
      </c>
      <c r="W296" t="s">
        <v>2470</v>
      </c>
      <c r="X296" t="s">
        <v>2471</v>
      </c>
      <c r="Y296" t="s">
        <v>74</v>
      </c>
      <c r="Z296" t="s">
        <v>2472</v>
      </c>
      <c r="AA296" t="s">
        <v>74</v>
      </c>
      <c r="AB296" t="s">
        <v>74</v>
      </c>
      <c r="AC296" t="s">
        <v>74</v>
      </c>
      <c r="AD296" t="s">
        <v>74</v>
      </c>
      <c r="AE296" t="s">
        <v>74</v>
      </c>
      <c r="AF296" t="s">
        <v>74</v>
      </c>
      <c r="AG296">
        <v>2</v>
      </c>
      <c r="AH296">
        <v>1</v>
      </c>
      <c r="AI296">
        <v>1</v>
      </c>
      <c r="AJ296">
        <v>0</v>
      </c>
      <c r="AK296">
        <v>0</v>
      </c>
      <c r="AL296" t="s">
        <v>109</v>
      </c>
      <c r="AM296" t="s">
        <v>110</v>
      </c>
      <c r="AN296" t="s">
        <v>111</v>
      </c>
      <c r="AO296" t="s">
        <v>91</v>
      </c>
      <c r="AP296" t="s">
        <v>74</v>
      </c>
      <c r="AQ296" t="s">
        <v>74</v>
      </c>
      <c r="AR296" t="s">
        <v>93</v>
      </c>
      <c r="AS296" t="s">
        <v>94</v>
      </c>
      <c r="AT296" t="s">
        <v>95</v>
      </c>
      <c r="AU296">
        <v>2008</v>
      </c>
      <c r="AV296">
        <v>43</v>
      </c>
      <c r="AW296">
        <v>7</v>
      </c>
      <c r="AX296" t="s">
        <v>74</v>
      </c>
      <c r="AY296" t="s">
        <v>96</v>
      </c>
      <c r="AZ296" t="s">
        <v>74</v>
      </c>
      <c r="BA296" t="s">
        <v>74</v>
      </c>
      <c r="BB296" t="s">
        <v>2465</v>
      </c>
      <c r="BC296" t="s">
        <v>2465</v>
      </c>
      <c r="BD296" t="s">
        <v>74</v>
      </c>
      <c r="BE296" t="s">
        <v>74</v>
      </c>
      <c r="BF296" t="s">
        <v>74</v>
      </c>
      <c r="BG296" t="s">
        <v>74</v>
      </c>
      <c r="BH296" t="s">
        <v>74</v>
      </c>
      <c r="BI296">
        <v>1</v>
      </c>
      <c r="BJ296" t="s">
        <v>98</v>
      </c>
      <c r="BK296" t="s">
        <v>113</v>
      </c>
      <c r="BL296" t="s">
        <v>98</v>
      </c>
      <c r="BM296" t="s">
        <v>100</v>
      </c>
      <c r="BN296" t="s">
        <v>74</v>
      </c>
      <c r="BO296" t="s">
        <v>74</v>
      </c>
      <c r="BP296" t="s">
        <v>74</v>
      </c>
      <c r="BQ296" t="s">
        <v>74</v>
      </c>
      <c r="BR296" t="s">
        <v>101</v>
      </c>
      <c r="BS296" t="s">
        <v>2473</v>
      </c>
      <c r="BT296" t="str">
        <f>HYPERLINK("https%3A%2F%2Fwww.webofscience.com%2Fwos%2Fwoscc%2Ffull-record%2FWOS:000257683100304","View Full Record in Web of Science")</f>
        <v>View Full Record in Web of Science</v>
      </c>
    </row>
    <row r="297" spans="1:72" x14ac:dyDescent="0.15">
      <c r="A297" t="s">
        <v>72</v>
      </c>
      <c r="B297" t="s">
        <v>2474</v>
      </c>
      <c r="C297" t="s">
        <v>74</v>
      </c>
      <c r="D297" t="s">
        <v>74</v>
      </c>
      <c r="E297" t="s">
        <v>74</v>
      </c>
      <c r="F297" t="s">
        <v>2475</v>
      </c>
      <c r="G297" t="s">
        <v>74</v>
      </c>
      <c r="H297" t="s">
        <v>74</v>
      </c>
      <c r="I297" t="s">
        <v>2476</v>
      </c>
      <c r="J297" t="s">
        <v>77</v>
      </c>
      <c r="K297" t="s">
        <v>74</v>
      </c>
      <c r="L297" t="s">
        <v>74</v>
      </c>
      <c r="M297" t="s">
        <v>78</v>
      </c>
      <c r="N297" t="s">
        <v>52</v>
      </c>
      <c r="O297" t="s">
        <v>79</v>
      </c>
      <c r="P297" t="s">
        <v>80</v>
      </c>
      <c r="Q297" t="s">
        <v>81</v>
      </c>
      <c r="R297" t="s">
        <v>74</v>
      </c>
      <c r="S297" t="s">
        <v>82</v>
      </c>
      <c r="T297" t="s">
        <v>74</v>
      </c>
      <c r="U297" t="s">
        <v>2477</v>
      </c>
      <c r="V297" t="s">
        <v>74</v>
      </c>
      <c r="W297" t="s">
        <v>2478</v>
      </c>
      <c r="X297" t="s">
        <v>2479</v>
      </c>
      <c r="Y297" t="s">
        <v>74</v>
      </c>
      <c r="Z297" t="s">
        <v>74</v>
      </c>
      <c r="AA297" t="s">
        <v>2480</v>
      </c>
      <c r="AB297" t="s">
        <v>2481</v>
      </c>
      <c r="AC297" t="s">
        <v>74</v>
      </c>
      <c r="AD297" t="s">
        <v>74</v>
      </c>
      <c r="AE297" t="s">
        <v>74</v>
      </c>
      <c r="AF297" t="s">
        <v>74</v>
      </c>
      <c r="AG297">
        <v>9</v>
      </c>
      <c r="AH297">
        <v>2</v>
      </c>
      <c r="AI297">
        <v>2</v>
      </c>
      <c r="AJ297">
        <v>0</v>
      </c>
      <c r="AK297">
        <v>1</v>
      </c>
      <c r="AL297" t="s">
        <v>149</v>
      </c>
      <c r="AM297" t="s">
        <v>89</v>
      </c>
      <c r="AN297" t="s">
        <v>90</v>
      </c>
      <c r="AO297" t="s">
        <v>91</v>
      </c>
      <c r="AP297" t="s">
        <v>92</v>
      </c>
      <c r="AQ297" t="s">
        <v>74</v>
      </c>
      <c r="AR297" t="s">
        <v>93</v>
      </c>
      <c r="AS297" t="s">
        <v>94</v>
      </c>
      <c r="AT297" t="s">
        <v>95</v>
      </c>
      <c r="AU297">
        <v>2008</v>
      </c>
      <c r="AV297">
        <v>43</v>
      </c>
      <c r="AW297">
        <v>7</v>
      </c>
      <c r="AX297" t="s">
        <v>74</v>
      </c>
      <c r="AY297" t="s">
        <v>96</v>
      </c>
      <c r="AZ297" t="s">
        <v>74</v>
      </c>
      <c r="BA297" t="s">
        <v>74</v>
      </c>
      <c r="BB297" t="s">
        <v>2482</v>
      </c>
      <c r="BC297" t="s">
        <v>2482</v>
      </c>
      <c r="BD297" t="s">
        <v>74</v>
      </c>
      <c r="BE297" t="s">
        <v>74</v>
      </c>
      <c r="BF297" t="s">
        <v>74</v>
      </c>
      <c r="BG297" t="s">
        <v>74</v>
      </c>
      <c r="BH297" t="s">
        <v>74</v>
      </c>
      <c r="BI297">
        <v>1</v>
      </c>
      <c r="BJ297" t="s">
        <v>98</v>
      </c>
      <c r="BK297" t="s">
        <v>99</v>
      </c>
      <c r="BL297" t="s">
        <v>98</v>
      </c>
      <c r="BM297" t="s">
        <v>100</v>
      </c>
      <c r="BN297" t="s">
        <v>74</v>
      </c>
      <c r="BO297" t="s">
        <v>74</v>
      </c>
      <c r="BP297" t="s">
        <v>74</v>
      </c>
      <c r="BQ297" t="s">
        <v>74</v>
      </c>
      <c r="BR297" t="s">
        <v>101</v>
      </c>
      <c r="BS297" t="s">
        <v>2483</v>
      </c>
      <c r="BT297" t="str">
        <f>HYPERLINK("https%3A%2F%2Fwww.webofscience.com%2Fwos%2Fwoscc%2Ffull-record%2FWOS:000257683100305","View Full Record in Web of Science")</f>
        <v>View Full Record in Web of Science</v>
      </c>
    </row>
    <row r="298" spans="1:72" x14ac:dyDescent="0.15">
      <c r="A298" t="s">
        <v>72</v>
      </c>
      <c r="B298" t="s">
        <v>2484</v>
      </c>
      <c r="C298" t="s">
        <v>74</v>
      </c>
      <c r="D298" t="s">
        <v>74</v>
      </c>
      <c r="E298" t="s">
        <v>74</v>
      </c>
      <c r="F298" t="s">
        <v>2485</v>
      </c>
      <c r="G298" t="s">
        <v>74</v>
      </c>
      <c r="H298" t="s">
        <v>74</v>
      </c>
      <c r="I298" t="s">
        <v>2486</v>
      </c>
      <c r="J298" t="s">
        <v>77</v>
      </c>
      <c r="K298" t="s">
        <v>74</v>
      </c>
      <c r="L298" t="s">
        <v>74</v>
      </c>
      <c r="M298" t="s">
        <v>78</v>
      </c>
      <c r="N298" t="s">
        <v>52</v>
      </c>
      <c r="O298" t="s">
        <v>79</v>
      </c>
      <c r="P298" t="s">
        <v>80</v>
      </c>
      <c r="Q298" t="s">
        <v>81</v>
      </c>
      <c r="R298" t="s">
        <v>74</v>
      </c>
      <c r="S298" t="s">
        <v>82</v>
      </c>
      <c r="T298" t="s">
        <v>74</v>
      </c>
      <c r="U298" t="s">
        <v>74</v>
      </c>
      <c r="V298" t="s">
        <v>74</v>
      </c>
      <c r="W298" t="s">
        <v>2487</v>
      </c>
      <c r="X298" t="s">
        <v>1028</v>
      </c>
      <c r="Y298" t="s">
        <v>74</v>
      </c>
      <c r="Z298" t="s">
        <v>2488</v>
      </c>
      <c r="AA298" t="s">
        <v>74</v>
      </c>
      <c r="AB298" t="s">
        <v>74</v>
      </c>
      <c r="AC298" t="s">
        <v>74</v>
      </c>
      <c r="AD298" t="s">
        <v>74</v>
      </c>
      <c r="AE298" t="s">
        <v>74</v>
      </c>
      <c r="AF298" t="s">
        <v>74</v>
      </c>
      <c r="AG298">
        <v>5</v>
      </c>
      <c r="AH298">
        <v>0</v>
      </c>
      <c r="AI298">
        <v>0</v>
      </c>
      <c r="AJ298">
        <v>0</v>
      </c>
      <c r="AK298">
        <v>0</v>
      </c>
      <c r="AL298" t="s">
        <v>88</v>
      </c>
      <c r="AM298" t="s">
        <v>89</v>
      </c>
      <c r="AN298" t="s">
        <v>90</v>
      </c>
      <c r="AO298" t="s">
        <v>91</v>
      </c>
      <c r="AP298" t="s">
        <v>92</v>
      </c>
      <c r="AQ298" t="s">
        <v>74</v>
      </c>
      <c r="AR298" t="s">
        <v>93</v>
      </c>
      <c r="AS298" t="s">
        <v>94</v>
      </c>
      <c r="AT298" t="s">
        <v>95</v>
      </c>
      <c r="AU298">
        <v>2008</v>
      </c>
      <c r="AV298">
        <v>43</v>
      </c>
      <c r="AW298">
        <v>7</v>
      </c>
      <c r="AX298" t="s">
        <v>74</v>
      </c>
      <c r="AY298" t="s">
        <v>96</v>
      </c>
      <c r="AZ298" t="s">
        <v>74</v>
      </c>
      <c r="BA298" t="s">
        <v>74</v>
      </c>
      <c r="BB298" t="s">
        <v>2482</v>
      </c>
      <c r="BC298" t="s">
        <v>2482</v>
      </c>
      <c r="BD298" t="s">
        <v>74</v>
      </c>
      <c r="BE298" t="s">
        <v>74</v>
      </c>
      <c r="BF298" t="s">
        <v>74</v>
      </c>
      <c r="BG298" t="s">
        <v>74</v>
      </c>
      <c r="BH298" t="s">
        <v>74</v>
      </c>
      <c r="BI298">
        <v>1</v>
      </c>
      <c r="BJ298" t="s">
        <v>98</v>
      </c>
      <c r="BK298" t="s">
        <v>99</v>
      </c>
      <c r="BL298" t="s">
        <v>98</v>
      </c>
      <c r="BM298" t="s">
        <v>100</v>
      </c>
      <c r="BN298" t="s">
        <v>74</v>
      </c>
      <c r="BO298" t="s">
        <v>74</v>
      </c>
      <c r="BP298" t="s">
        <v>74</v>
      </c>
      <c r="BQ298" t="s">
        <v>74</v>
      </c>
      <c r="BR298" t="s">
        <v>101</v>
      </c>
      <c r="BS298" t="s">
        <v>2489</v>
      </c>
      <c r="BT298" t="str">
        <f>HYPERLINK("https%3A%2F%2Fwww.webofscience.com%2Fwos%2Fwoscc%2Ffull-record%2FWOS:000257683100306","View Full Record in Web of Science")</f>
        <v>View Full Record in Web of Science</v>
      </c>
    </row>
    <row r="299" spans="1:72" x14ac:dyDescent="0.15">
      <c r="A299" t="s">
        <v>72</v>
      </c>
      <c r="B299" t="s">
        <v>2490</v>
      </c>
      <c r="C299" t="s">
        <v>74</v>
      </c>
      <c r="D299" t="s">
        <v>74</v>
      </c>
      <c r="E299" t="s">
        <v>74</v>
      </c>
      <c r="F299" t="s">
        <v>2491</v>
      </c>
      <c r="G299" t="s">
        <v>74</v>
      </c>
      <c r="H299" t="s">
        <v>74</v>
      </c>
      <c r="I299" t="s">
        <v>2492</v>
      </c>
      <c r="J299" t="s">
        <v>77</v>
      </c>
      <c r="K299" t="s">
        <v>74</v>
      </c>
      <c r="L299" t="s">
        <v>74</v>
      </c>
      <c r="M299" t="s">
        <v>78</v>
      </c>
      <c r="N299" t="s">
        <v>52</v>
      </c>
      <c r="O299" t="s">
        <v>79</v>
      </c>
      <c r="P299" t="s">
        <v>80</v>
      </c>
      <c r="Q299" t="s">
        <v>81</v>
      </c>
      <c r="R299" t="s">
        <v>74</v>
      </c>
      <c r="S299" t="s">
        <v>82</v>
      </c>
      <c r="T299" t="s">
        <v>74</v>
      </c>
      <c r="U299" t="s">
        <v>2493</v>
      </c>
      <c r="V299" t="s">
        <v>74</v>
      </c>
      <c r="W299" t="s">
        <v>2494</v>
      </c>
      <c r="X299" t="s">
        <v>2495</v>
      </c>
      <c r="Y299" t="s">
        <v>74</v>
      </c>
      <c r="Z299" t="s">
        <v>2496</v>
      </c>
      <c r="AA299" t="s">
        <v>396</v>
      </c>
      <c r="AB299" t="s">
        <v>74</v>
      </c>
      <c r="AC299" t="s">
        <v>74</v>
      </c>
      <c r="AD299" t="s">
        <v>74</v>
      </c>
      <c r="AE299" t="s">
        <v>74</v>
      </c>
      <c r="AF299" t="s">
        <v>74</v>
      </c>
      <c r="AG299">
        <v>6</v>
      </c>
      <c r="AH299">
        <v>0</v>
      </c>
      <c r="AI299">
        <v>0</v>
      </c>
      <c r="AJ299">
        <v>0</v>
      </c>
      <c r="AK299">
        <v>4</v>
      </c>
      <c r="AL299" t="s">
        <v>109</v>
      </c>
      <c r="AM299" t="s">
        <v>110</v>
      </c>
      <c r="AN299" t="s">
        <v>111</v>
      </c>
      <c r="AO299" t="s">
        <v>91</v>
      </c>
      <c r="AP299" t="s">
        <v>74</v>
      </c>
      <c r="AQ299" t="s">
        <v>74</v>
      </c>
      <c r="AR299" t="s">
        <v>93</v>
      </c>
      <c r="AS299" t="s">
        <v>94</v>
      </c>
      <c r="AT299" t="s">
        <v>95</v>
      </c>
      <c r="AU299">
        <v>2008</v>
      </c>
      <c r="AV299">
        <v>43</v>
      </c>
      <c r="AW299">
        <v>7</v>
      </c>
      <c r="AX299" t="s">
        <v>74</v>
      </c>
      <c r="AY299" t="s">
        <v>96</v>
      </c>
      <c r="AZ299" t="s">
        <v>74</v>
      </c>
      <c r="BA299" t="s">
        <v>74</v>
      </c>
      <c r="BB299" t="s">
        <v>2497</v>
      </c>
      <c r="BC299" t="s">
        <v>2497</v>
      </c>
      <c r="BD299" t="s">
        <v>74</v>
      </c>
      <c r="BE299" t="s">
        <v>74</v>
      </c>
      <c r="BF299" t="s">
        <v>74</v>
      </c>
      <c r="BG299" t="s">
        <v>74</v>
      </c>
      <c r="BH299" t="s">
        <v>74</v>
      </c>
      <c r="BI299">
        <v>1</v>
      </c>
      <c r="BJ299" t="s">
        <v>98</v>
      </c>
      <c r="BK299" t="s">
        <v>113</v>
      </c>
      <c r="BL299" t="s">
        <v>98</v>
      </c>
      <c r="BM299" t="s">
        <v>100</v>
      </c>
      <c r="BN299" t="s">
        <v>74</v>
      </c>
      <c r="BO299" t="s">
        <v>74</v>
      </c>
      <c r="BP299" t="s">
        <v>74</v>
      </c>
      <c r="BQ299" t="s">
        <v>74</v>
      </c>
      <c r="BR299" t="s">
        <v>101</v>
      </c>
      <c r="BS299" t="s">
        <v>2498</v>
      </c>
      <c r="BT299" t="str">
        <f>HYPERLINK("https%3A%2F%2Fwww.webofscience.com%2Fwos%2Fwoscc%2Ffull-record%2FWOS:000257683100307","View Full Record in Web of Science")</f>
        <v>View Full Record in Web of Science</v>
      </c>
    </row>
    <row r="300" spans="1:72" x14ac:dyDescent="0.15">
      <c r="A300" t="s">
        <v>72</v>
      </c>
      <c r="B300" t="s">
        <v>2499</v>
      </c>
      <c r="C300" t="s">
        <v>74</v>
      </c>
      <c r="D300" t="s">
        <v>74</v>
      </c>
      <c r="E300" t="s">
        <v>74</v>
      </c>
      <c r="F300" t="s">
        <v>2500</v>
      </c>
      <c r="G300" t="s">
        <v>74</v>
      </c>
      <c r="H300" t="s">
        <v>74</v>
      </c>
      <c r="I300" t="s">
        <v>2501</v>
      </c>
      <c r="J300" t="s">
        <v>77</v>
      </c>
      <c r="K300" t="s">
        <v>74</v>
      </c>
      <c r="L300" t="s">
        <v>74</v>
      </c>
      <c r="M300" t="s">
        <v>78</v>
      </c>
      <c r="N300" t="s">
        <v>52</v>
      </c>
      <c r="O300" t="s">
        <v>79</v>
      </c>
      <c r="P300" t="s">
        <v>80</v>
      </c>
      <c r="Q300" t="s">
        <v>81</v>
      </c>
      <c r="R300" t="s">
        <v>74</v>
      </c>
      <c r="S300" t="s">
        <v>82</v>
      </c>
      <c r="T300" t="s">
        <v>74</v>
      </c>
      <c r="U300" t="s">
        <v>2502</v>
      </c>
      <c r="V300" t="s">
        <v>74</v>
      </c>
      <c r="W300" t="s">
        <v>2503</v>
      </c>
      <c r="X300" t="s">
        <v>2504</v>
      </c>
      <c r="Y300" t="s">
        <v>74</v>
      </c>
      <c r="Z300" t="s">
        <v>2505</v>
      </c>
      <c r="AA300" t="s">
        <v>74</v>
      </c>
      <c r="AB300" t="s">
        <v>74</v>
      </c>
      <c r="AC300" t="s">
        <v>74</v>
      </c>
      <c r="AD300" t="s">
        <v>74</v>
      </c>
      <c r="AE300" t="s">
        <v>74</v>
      </c>
      <c r="AF300" t="s">
        <v>74</v>
      </c>
      <c r="AG300">
        <v>4</v>
      </c>
      <c r="AH300">
        <v>0</v>
      </c>
      <c r="AI300">
        <v>0</v>
      </c>
      <c r="AJ300">
        <v>0</v>
      </c>
      <c r="AK300">
        <v>0</v>
      </c>
      <c r="AL300" t="s">
        <v>109</v>
      </c>
      <c r="AM300" t="s">
        <v>110</v>
      </c>
      <c r="AN300" t="s">
        <v>111</v>
      </c>
      <c r="AO300" t="s">
        <v>91</v>
      </c>
      <c r="AP300" t="s">
        <v>74</v>
      </c>
      <c r="AQ300" t="s">
        <v>74</v>
      </c>
      <c r="AR300" t="s">
        <v>93</v>
      </c>
      <c r="AS300" t="s">
        <v>94</v>
      </c>
      <c r="AT300" t="s">
        <v>95</v>
      </c>
      <c r="AU300">
        <v>2008</v>
      </c>
      <c r="AV300">
        <v>43</v>
      </c>
      <c r="AW300">
        <v>7</v>
      </c>
      <c r="AX300" t="s">
        <v>74</v>
      </c>
      <c r="AY300" t="s">
        <v>96</v>
      </c>
      <c r="AZ300" t="s">
        <v>74</v>
      </c>
      <c r="BA300" t="s">
        <v>74</v>
      </c>
      <c r="BB300" t="s">
        <v>2497</v>
      </c>
      <c r="BC300" t="s">
        <v>2497</v>
      </c>
      <c r="BD300" t="s">
        <v>74</v>
      </c>
      <c r="BE300" t="s">
        <v>74</v>
      </c>
      <c r="BF300" t="s">
        <v>74</v>
      </c>
      <c r="BG300" t="s">
        <v>74</v>
      </c>
      <c r="BH300" t="s">
        <v>74</v>
      </c>
      <c r="BI300">
        <v>1</v>
      </c>
      <c r="BJ300" t="s">
        <v>98</v>
      </c>
      <c r="BK300" t="s">
        <v>113</v>
      </c>
      <c r="BL300" t="s">
        <v>98</v>
      </c>
      <c r="BM300" t="s">
        <v>100</v>
      </c>
      <c r="BN300" t="s">
        <v>74</v>
      </c>
      <c r="BO300" t="s">
        <v>74</v>
      </c>
      <c r="BP300" t="s">
        <v>74</v>
      </c>
      <c r="BQ300" t="s">
        <v>74</v>
      </c>
      <c r="BR300" t="s">
        <v>101</v>
      </c>
      <c r="BS300" t="s">
        <v>2506</v>
      </c>
      <c r="BT300" t="str">
        <f>HYPERLINK("https%3A%2F%2Fwww.webofscience.com%2Fwos%2Fwoscc%2Ffull-record%2FWOS:000257683100308","View Full Record in Web of Science")</f>
        <v>View Full Record in Web of Science</v>
      </c>
    </row>
    <row r="301" spans="1:72" x14ac:dyDescent="0.15">
      <c r="A301" t="s">
        <v>72</v>
      </c>
      <c r="B301" t="s">
        <v>2507</v>
      </c>
      <c r="C301" t="s">
        <v>74</v>
      </c>
      <c r="D301" t="s">
        <v>74</v>
      </c>
      <c r="E301" t="s">
        <v>74</v>
      </c>
      <c r="F301" t="s">
        <v>2508</v>
      </c>
      <c r="G301" t="s">
        <v>74</v>
      </c>
      <c r="H301" t="s">
        <v>74</v>
      </c>
      <c r="I301" t="s">
        <v>2509</v>
      </c>
      <c r="J301" t="s">
        <v>77</v>
      </c>
      <c r="K301" t="s">
        <v>74</v>
      </c>
      <c r="L301" t="s">
        <v>74</v>
      </c>
      <c r="M301" t="s">
        <v>78</v>
      </c>
      <c r="N301" t="s">
        <v>52</v>
      </c>
      <c r="O301" t="s">
        <v>79</v>
      </c>
      <c r="P301" t="s">
        <v>80</v>
      </c>
      <c r="Q301" t="s">
        <v>81</v>
      </c>
      <c r="R301" t="s">
        <v>74</v>
      </c>
      <c r="S301" t="s">
        <v>82</v>
      </c>
      <c r="T301" t="s">
        <v>74</v>
      </c>
      <c r="U301" t="s">
        <v>74</v>
      </c>
      <c r="V301" t="s">
        <v>74</v>
      </c>
      <c r="W301" t="s">
        <v>2510</v>
      </c>
      <c r="X301" t="s">
        <v>285</v>
      </c>
      <c r="Y301" t="s">
        <v>74</v>
      </c>
      <c r="Z301" t="s">
        <v>2511</v>
      </c>
      <c r="AA301" t="s">
        <v>74</v>
      </c>
      <c r="AB301" t="s">
        <v>74</v>
      </c>
      <c r="AC301" t="s">
        <v>74</v>
      </c>
      <c r="AD301" t="s">
        <v>74</v>
      </c>
      <c r="AE301" t="s">
        <v>74</v>
      </c>
      <c r="AF301" t="s">
        <v>74</v>
      </c>
      <c r="AG301">
        <v>9</v>
      </c>
      <c r="AH301">
        <v>0</v>
      </c>
      <c r="AI301">
        <v>0</v>
      </c>
      <c r="AJ301">
        <v>1</v>
      </c>
      <c r="AK301">
        <v>4</v>
      </c>
      <c r="AL301" t="s">
        <v>88</v>
      </c>
      <c r="AM301" t="s">
        <v>89</v>
      </c>
      <c r="AN301" t="s">
        <v>90</v>
      </c>
      <c r="AO301" t="s">
        <v>91</v>
      </c>
      <c r="AP301" t="s">
        <v>92</v>
      </c>
      <c r="AQ301" t="s">
        <v>74</v>
      </c>
      <c r="AR301" t="s">
        <v>93</v>
      </c>
      <c r="AS301" t="s">
        <v>94</v>
      </c>
      <c r="AT301" t="s">
        <v>95</v>
      </c>
      <c r="AU301">
        <v>2008</v>
      </c>
      <c r="AV301">
        <v>43</v>
      </c>
      <c r="AW301">
        <v>7</v>
      </c>
      <c r="AX301" t="s">
        <v>74</v>
      </c>
      <c r="AY301" t="s">
        <v>96</v>
      </c>
      <c r="AZ301" t="s">
        <v>74</v>
      </c>
      <c r="BA301" t="s">
        <v>74</v>
      </c>
      <c r="BB301" t="s">
        <v>2512</v>
      </c>
      <c r="BC301" t="s">
        <v>2512</v>
      </c>
      <c r="BD301" t="s">
        <v>74</v>
      </c>
      <c r="BE301" t="s">
        <v>74</v>
      </c>
      <c r="BF301" t="s">
        <v>74</v>
      </c>
      <c r="BG301" t="s">
        <v>74</v>
      </c>
      <c r="BH301" t="s">
        <v>74</v>
      </c>
      <c r="BI301">
        <v>1</v>
      </c>
      <c r="BJ301" t="s">
        <v>98</v>
      </c>
      <c r="BK301" t="s">
        <v>99</v>
      </c>
      <c r="BL301" t="s">
        <v>98</v>
      </c>
      <c r="BM301" t="s">
        <v>100</v>
      </c>
      <c r="BN301" t="s">
        <v>74</v>
      </c>
      <c r="BO301" t="s">
        <v>74</v>
      </c>
      <c r="BP301" t="s">
        <v>74</v>
      </c>
      <c r="BQ301" t="s">
        <v>74</v>
      </c>
      <c r="BR301" t="s">
        <v>101</v>
      </c>
      <c r="BS301" t="s">
        <v>2513</v>
      </c>
      <c r="BT301" t="str">
        <f>HYPERLINK("https%3A%2F%2Fwww.webofscience.com%2Fwos%2Fwoscc%2Ffull-record%2FWOS:000257683100310","View Full Record in Web of Science")</f>
        <v>View Full Record in Web of Science</v>
      </c>
    </row>
    <row r="302" spans="1:72" x14ac:dyDescent="0.15">
      <c r="A302" t="s">
        <v>72</v>
      </c>
      <c r="B302" t="s">
        <v>2514</v>
      </c>
      <c r="C302" t="s">
        <v>74</v>
      </c>
      <c r="D302" t="s">
        <v>74</v>
      </c>
      <c r="E302" t="s">
        <v>74</v>
      </c>
      <c r="F302" t="s">
        <v>2515</v>
      </c>
      <c r="G302" t="s">
        <v>74</v>
      </c>
      <c r="H302" t="s">
        <v>74</v>
      </c>
      <c r="I302" t="s">
        <v>2516</v>
      </c>
      <c r="J302" t="s">
        <v>77</v>
      </c>
      <c r="K302" t="s">
        <v>74</v>
      </c>
      <c r="L302" t="s">
        <v>74</v>
      </c>
      <c r="M302" t="s">
        <v>78</v>
      </c>
      <c r="N302" t="s">
        <v>52</v>
      </c>
      <c r="O302" t="s">
        <v>79</v>
      </c>
      <c r="P302" t="s">
        <v>80</v>
      </c>
      <c r="Q302" t="s">
        <v>81</v>
      </c>
      <c r="R302" t="s">
        <v>74</v>
      </c>
      <c r="S302" t="s">
        <v>82</v>
      </c>
      <c r="T302" t="s">
        <v>74</v>
      </c>
      <c r="U302" t="s">
        <v>74</v>
      </c>
      <c r="V302" t="s">
        <v>74</v>
      </c>
      <c r="W302" t="s">
        <v>2517</v>
      </c>
      <c r="X302" t="s">
        <v>1206</v>
      </c>
      <c r="Y302" t="s">
        <v>74</v>
      </c>
      <c r="Z302" t="s">
        <v>2511</v>
      </c>
      <c r="AA302" t="s">
        <v>74</v>
      </c>
      <c r="AB302" t="s">
        <v>74</v>
      </c>
      <c r="AC302" t="s">
        <v>74</v>
      </c>
      <c r="AD302" t="s">
        <v>74</v>
      </c>
      <c r="AE302" t="s">
        <v>74</v>
      </c>
      <c r="AF302" t="s">
        <v>74</v>
      </c>
      <c r="AG302">
        <v>2</v>
      </c>
      <c r="AH302">
        <v>0</v>
      </c>
      <c r="AI302">
        <v>0</v>
      </c>
      <c r="AJ302">
        <v>0</v>
      </c>
      <c r="AK302">
        <v>1</v>
      </c>
      <c r="AL302" t="s">
        <v>149</v>
      </c>
      <c r="AM302" t="s">
        <v>150</v>
      </c>
      <c r="AN302" t="s">
        <v>151</v>
      </c>
      <c r="AO302" t="s">
        <v>91</v>
      </c>
      <c r="AP302" t="s">
        <v>74</v>
      </c>
      <c r="AQ302" t="s">
        <v>74</v>
      </c>
      <c r="AR302" t="s">
        <v>93</v>
      </c>
      <c r="AS302" t="s">
        <v>94</v>
      </c>
      <c r="AT302" t="s">
        <v>95</v>
      </c>
      <c r="AU302">
        <v>2008</v>
      </c>
      <c r="AV302">
        <v>43</v>
      </c>
      <c r="AW302">
        <v>7</v>
      </c>
      <c r="AX302" t="s">
        <v>74</v>
      </c>
      <c r="AY302" t="s">
        <v>96</v>
      </c>
      <c r="AZ302" t="s">
        <v>74</v>
      </c>
      <c r="BA302" t="s">
        <v>74</v>
      </c>
      <c r="BB302" t="s">
        <v>2512</v>
      </c>
      <c r="BC302" t="s">
        <v>2512</v>
      </c>
      <c r="BD302" t="s">
        <v>74</v>
      </c>
      <c r="BE302" t="s">
        <v>74</v>
      </c>
      <c r="BF302" t="s">
        <v>74</v>
      </c>
      <c r="BG302" t="s">
        <v>74</v>
      </c>
      <c r="BH302" t="s">
        <v>74</v>
      </c>
      <c r="BI302">
        <v>1</v>
      </c>
      <c r="BJ302" t="s">
        <v>98</v>
      </c>
      <c r="BK302" t="s">
        <v>99</v>
      </c>
      <c r="BL302" t="s">
        <v>98</v>
      </c>
      <c r="BM302" t="s">
        <v>100</v>
      </c>
      <c r="BN302" t="s">
        <v>74</v>
      </c>
      <c r="BO302" t="s">
        <v>74</v>
      </c>
      <c r="BP302" t="s">
        <v>74</v>
      </c>
      <c r="BQ302" t="s">
        <v>74</v>
      </c>
      <c r="BR302" t="s">
        <v>101</v>
      </c>
      <c r="BS302" t="s">
        <v>2518</v>
      </c>
      <c r="BT302" t="str">
        <f>HYPERLINK("https%3A%2F%2Fwww.webofscience.com%2Fwos%2Fwoscc%2Ffull-record%2FWOS:000257683100309","View Full Record in Web of Science")</f>
        <v>View Full Record in Web of Science</v>
      </c>
    </row>
    <row r="303" spans="1:72" x14ac:dyDescent="0.15">
      <c r="A303" t="s">
        <v>72</v>
      </c>
      <c r="B303" t="s">
        <v>2519</v>
      </c>
      <c r="C303" t="s">
        <v>74</v>
      </c>
      <c r="D303" t="s">
        <v>74</v>
      </c>
      <c r="E303" t="s">
        <v>74</v>
      </c>
      <c r="F303" t="s">
        <v>2520</v>
      </c>
      <c r="G303" t="s">
        <v>74</v>
      </c>
      <c r="H303" t="s">
        <v>74</v>
      </c>
      <c r="I303" t="s">
        <v>2521</v>
      </c>
      <c r="J303" t="s">
        <v>77</v>
      </c>
      <c r="K303" t="s">
        <v>74</v>
      </c>
      <c r="L303" t="s">
        <v>74</v>
      </c>
      <c r="M303" t="s">
        <v>78</v>
      </c>
      <c r="N303" t="s">
        <v>52</v>
      </c>
      <c r="O303" t="s">
        <v>79</v>
      </c>
      <c r="P303" t="s">
        <v>80</v>
      </c>
      <c r="Q303" t="s">
        <v>81</v>
      </c>
      <c r="R303" t="s">
        <v>74</v>
      </c>
      <c r="S303" t="s">
        <v>82</v>
      </c>
      <c r="T303" t="s">
        <v>74</v>
      </c>
      <c r="U303" t="s">
        <v>74</v>
      </c>
      <c r="V303" t="s">
        <v>74</v>
      </c>
      <c r="W303" t="s">
        <v>2522</v>
      </c>
      <c r="X303" t="s">
        <v>1206</v>
      </c>
      <c r="Y303" t="s">
        <v>74</v>
      </c>
      <c r="Z303" t="s">
        <v>2523</v>
      </c>
      <c r="AA303" t="s">
        <v>74</v>
      </c>
      <c r="AB303" t="s">
        <v>74</v>
      </c>
      <c r="AC303" t="s">
        <v>74</v>
      </c>
      <c r="AD303" t="s">
        <v>74</v>
      </c>
      <c r="AE303" t="s">
        <v>74</v>
      </c>
      <c r="AF303" t="s">
        <v>74</v>
      </c>
      <c r="AG303">
        <v>5</v>
      </c>
      <c r="AH303">
        <v>0</v>
      </c>
      <c r="AI303">
        <v>0</v>
      </c>
      <c r="AJ303">
        <v>0</v>
      </c>
      <c r="AK303">
        <v>3</v>
      </c>
      <c r="AL303" t="s">
        <v>149</v>
      </c>
      <c r="AM303" t="s">
        <v>150</v>
      </c>
      <c r="AN303" t="s">
        <v>151</v>
      </c>
      <c r="AO303" t="s">
        <v>91</v>
      </c>
      <c r="AP303" t="s">
        <v>74</v>
      </c>
      <c r="AQ303" t="s">
        <v>74</v>
      </c>
      <c r="AR303" t="s">
        <v>93</v>
      </c>
      <c r="AS303" t="s">
        <v>94</v>
      </c>
      <c r="AT303" t="s">
        <v>95</v>
      </c>
      <c r="AU303">
        <v>2008</v>
      </c>
      <c r="AV303">
        <v>43</v>
      </c>
      <c r="AW303">
        <v>7</v>
      </c>
      <c r="AX303" t="s">
        <v>74</v>
      </c>
      <c r="AY303" t="s">
        <v>96</v>
      </c>
      <c r="AZ303" t="s">
        <v>74</v>
      </c>
      <c r="BA303" t="s">
        <v>74</v>
      </c>
      <c r="BB303" t="s">
        <v>2524</v>
      </c>
      <c r="BC303" t="s">
        <v>2524</v>
      </c>
      <c r="BD303" t="s">
        <v>74</v>
      </c>
      <c r="BE303" t="s">
        <v>74</v>
      </c>
      <c r="BF303" t="s">
        <v>74</v>
      </c>
      <c r="BG303" t="s">
        <v>74</v>
      </c>
      <c r="BH303" t="s">
        <v>74</v>
      </c>
      <c r="BI303">
        <v>1</v>
      </c>
      <c r="BJ303" t="s">
        <v>98</v>
      </c>
      <c r="BK303" t="s">
        <v>99</v>
      </c>
      <c r="BL303" t="s">
        <v>98</v>
      </c>
      <c r="BM303" t="s">
        <v>100</v>
      </c>
      <c r="BN303" t="s">
        <v>74</v>
      </c>
      <c r="BO303" t="s">
        <v>74</v>
      </c>
      <c r="BP303" t="s">
        <v>74</v>
      </c>
      <c r="BQ303" t="s">
        <v>74</v>
      </c>
      <c r="BR303" t="s">
        <v>101</v>
      </c>
      <c r="BS303" t="s">
        <v>2525</v>
      </c>
      <c r="BT303" t="str">
        <f>HYPERLINK("https%3A%2F%2Fwww.webofscience.com%2Fwos%2Fwoscc%2Ffull-record%2FWOS:000257683100312","View Full Record in Web of Science")</f>
        <v>View Full Record in Web of Science</v>
      </c>
    </row>
    <row r="304" spans="1:72" x14ac:dyDescent="0.15">
      <c r="A304" t="s">
        <v>72</v>
      </c>
      <c r="B304" t="s">
        <v>2526</v>
      </c>
      <c r="C304" t="s">
        <v>74</v>
      </c>
      <c r="D304" t="s">
        <v>74</v>
      </c>
      <c r="E304" t="s">
        <v>74</v>
      </c>
      <c r="F304" t="s">
        <v>2527</v>
      </c>
      <c r="G304" t="s">
        <v>74</v>
      </c>
      <c r="H304" t="s">
        <v>74</v>
      </c>
      <c r="I304" t="s">
        <v>2528</v>
      </c>
      <c r="J304" t="s">
        <v>77</v>
      </c>
      <c r="K304" t="s">
        <v>74</v>
      </c>
      <c r="L304" t="s">
        <v>74</v>
      </c>
      <c r="M304" t="s">
        <v>78</v>
      </c>
      <c r="N304" t="s">
        <v>52</v>
      </c>
      <c r="O304" t="s">
        <v>79</v>
      </c>
      <c r="P304" t="s">
        <v>80</v>
      </c>
      <c r="Q304" t="s">
        <v>81</v>
      </c>
      <c r="R304" t="s">
        <v>74</v>
      </c>
      <c r="S304" t="s">
        <v>82</v>
      </c>
      <c r="T304" t="s">
        <v>74</v>
      </c>
      <c r="U304" t="s">
        <v>74</v>
      </c>
      <c r="V304" t="s">
        <v>74</v>
      </c>
      <c r="W304" t="s">
        <v>2529</v>
      </c>
      <c r="X304" t="s">
        <v>1206</v>
      </c>
      <c r="Y304" t="s">
        <v>74</v>
      </c>
      <c r="Z304" t="s">
        <v>2523</v>
      </c>
      <c r="AA304" t="s">
        <v>74</v>
      </c>
      <c r="AB304" t="s">
        <v>74</v>
      </c>
      <c r="AC304" t="s">
        <v>74</v>
      </c>
      <c r="AD304" t="s">
        <v>74</v>
      </c>
      <c r="AE304" t="s">
        <v>74</v>
      </c>
      <c r="AF304" t="s">
        <v>74</v>
      </c>
      <c r="AG304">
        <v>2</v>
      </c>
      <c r="AH304">
        <v>0</v>
      </c>
      <c r="AI304">
        <v>0</v>
      </c>
      <c r="AJ304">
        <v>0</v>
      </c>
      <c r="AK304">
        <v>1</v>
      </c>
      <c r="AL304" t="s">
        <v>149</v>
      </c>
      <c r="AM304" t="s">
        <v>150</v>
      </c>
      <c r="AN304" t="s">
        <v>151</v>
      </c>
      <c r="AO304" t="s">
        <v>91</v>
      </c>
      <c r="AP304" t="s">
        <v>74</v>
      </c>
      <c r="AQ304" t="s">
        <v>74</v>
      </c>
      <c r="AR304" t="s">
        <v>93</v>
      </c>
      <c r="AS304" t="s">
        <v>94</v>
      </c>
      <c r="AT304" t="s">
        <v>95</v>
      </c>
      <c r="AU304">
        <v>2008</v>
      </c>
      <c r="AV304">
        <v>43</v>
      </c>
      <c r="AW304">
        <v>7</v>
      </c>
      <c r="AX304" t="s">
        <v>74</v>
      </c>
      <c r="AY304" t="s">
        <v>96</v>
      </c>
      <c r="AZ304" t="s">
        <v>74</v>
      </c>
      <c r="BA304" t="s">
        <v>74</v>
      </c>
      <c r="BB304" t="s">
        <v>2524</v>
      </c>
      <c r="BC304" t="s">
        <v>2524</v>
      </c>
      <c r="BD304" t="s">
        <v>74</v>
      </c>
      <c r="BE304" t="s">
        <v>74</v>
      </c>
      <c r="BF304" t="s">
        <v>74</v>
      </c>
      <c r="BG304" t="s">
        <v>74</v>
      </c>
      <c r="BH304" t="s">
        <v>74</v>
      </c>
      <c r="BI304">
        <v>1</v>
      </c>
      <c r="BJ304" t="s">
        <v>98</v>
      </c>
      <c r="BK304" t="s">
        <v>99</v>
      </c>
      <c r="BL304" t="s">
        <v>98</v>
      </c>
      <c r="BM304" t="s">
        <v>100</v>
      </c>
      <c r="BN304" t="s">
        <v>74</v>
      </c>
      <c r="BO304" t="s">
        <v>74</v>
      </c>
      <c r="BP304" t="s">
        <v>74</v>
      </c>
      <c r="BQ304" t="s">
        <v>74</v>
      </c>
      <c r="BR304" t="s">
        <v>101</v>
      </c>
      <c r="BS304" t="s">
        <v>2530</v>
      </c>
      <c r="BT304" t="str">
        <f>HYPERLINK("https%3A%2F%2Fwww.webofscience.com%2Fwos%2Fwoscc%2Ffull-record%2FWOS:000257683100311","View Full Record in Web of Science")</f>
        <v>View Full Record in Web of Science</v>
      </c>
    </row>
    <row r="305" spans="1:72" x14ac:dyDescent="0.15">
      <c r="A305" t="s">
        <v>72</v>
      </c>
      <c r="B305" t="s">
        <v>2531</v>
      </c>
      <c r="C305" t="s">
        <v>74</v>
      </c>
      <c r="D305" t="s">
        <v>74</v>
      </c>
      <c r="E305" t="s">
        <v>74</v>
      </c>
      <c r="F305" t="s">
        <v>2532</v>
      </c>
      <c r="G305" t="s">
        <v>74</v>
      </c>
      <c r="H305" t="s">
        <v>74</v>
      </c>
      <c r="I305" t="s">
        <v>2533</v>
      </c>
      <c r="J305" t="s">
        <v>77</v>
      </c>
      <c r="K305" t="s">
        <v>74</v>
      </c>
      <c r="L305" t="s">
        <v>74</v>
      </c>
      <c r="M305" t="s">
        <v>78</v>
      </c>
      <c r="N305" t="s">
        <v>52</v>
      </c>
      <c r="O305" t="s">
        <v>79</v>
      </c>
      <c r="P305" t="s">
        <v>80</v>
      </c>
      <c r="Q305" t="s">
        <v>81</v>
      </c>
      <c r="R305" t="s">
        <v>74</v>
      </c>
      <c r="S305" t="s">
        <v>82</v>
      </c>
      <c r="T305" t="s">
        <v>74</v>
      </c>
      <c r="U305" t="s">
        <v>74</v>
      </c>
      <c r="V305" t="s">
        <v>74</v>
      </c>
      <c r="W305" t="s">
        <v>2534</v>
      </c>
      <c r="X305" t="s">
        <v>2535</v>
      </c>
      <c r="Y305" t="s">
        <v>74</v>
      </c>
      <c r="Z305" t="s">
        <v>2536</v>
      </c>
      <c r="AA305" t="s">
        <v>74</v>
      </c>
      <c r="AB305" t="s">
        <v>74</v>
      </c>
      <c r="AC305" t="s">
        <v>74</v>
      </c>
      <c r="AD305" t="s">
        <v>74</v>
      </c>
      <c r="AE305" t="s">
        <v>74</v>
      </c>
      <c r="AF305" t="s">
        <v>74</v>
      </c>
      <c r="AG305">
        <v>5</v>
      </c>
      <c r="AH305">
        <v>0</v>
      </c>
      <c r="AI305">
        <v>0</v>
      </c>
      <c r="AJ305">
        <v>0</v>
      </c>
      <c r="AK305">
        <v>1</v>
      </c>
      <c r="AL305" t="s">
        <v>109</v>
      </c>
      <c r="AM305" t="s">
        <v>110</v>
      </c>
      <c r="AN305" t="s">
        <v>111</v>
      </c>
      <c r="AO305" t="s">
        <v>91</v>
      </c>
      <c r="AP305" t="s">
        <v>74</v>
      </c>
      <c r="AQ305" t="s">
        <v>74</v>
      </c>
      <c r="AR305" t="s">
        <v>93</v>
      </c>
      <c r="AS305" t="s">
        <v>94</v>
      </c>
      <c r="AT305" t="s">
        <v>95</v>
      </c>
      <c r="AU305">
        <v>2008</v>
      </c>
      <c r="AV305">
        <v>43</v>
      </c>
      <c r="AW305">
        <v>7</v>
      </c>
      <c r="AX305" t="s">
        <v>74</v>
      </c>
      <c r="AY305" t="s">
        <v>96</v>
      </c>
      <c r="AZ305" t="s">
        <v>74</v>
      </c>
      <c r="BA305" t="s">
        <v>74</v>
      </c>
      <c r="BB305" t="s">
        <v>2537</v>
      </c>
      <c r="BC305" t="s">
        <v>2537</v>
      </c>
      <c r="BD305" t="s">
        <v>74</v>
      </c>
      <c r="BE305" t="s">
        <v>74</v>
      </c>
      <c r="BF305" t="s">
        <v>74</v>
      </c>
      <c r="BG305" t="s">
        <v>74</v>
      </c>
      <c r="BH305" t="s">
        <v>74</v>
      </c>
      <c r="BI305">
        <v>1</v>
      </c>
      <c r="BJ305" t="s">
        <v>98</v>
      </c>
      <c r="BK305" t="s">
        <v>113</v>
      </c>
      <c r="BL305" t="s">
        <v>98</v>
      </c>
      <c r="BM305" t="s">
        <v>100</v>
      </c>
      <c r="BN305" t="s">
        <v>74</v>
      </c>
      <c r="BO305" t="s">
        <v>74</v>
      </c>
      <c r="BP305" t="s">
        <v>74</v>
      </c>
      <c r="BQ305" t="s">
        <v>74</v>
      </c>
      <c r="BR305" t="s">
        <v>101</v>
      </c>
      <c r="BS305" t="s">
        <v>2538</v>
      </c>
      <c r="BT305" t="str">
        <f>HYPERLINK("https%3A%2F%2Fwww.webofscience.com%2Fwos%2Fwoscc%2Ffull-record%2FWOS:000257683100358","View Full Record in Web of Science")</f>
        <v>View Full Record in Web of Science</v>
      </c>
    </row>
    <row r="306" spans="1:72" x14ac:dyDescent="0.15">
      <c r="A306" t="s">
        <v>72</v>
      </c>
      <c r="B306" t="s">
        <v>2539</v>
      </c>
      <c r="C306" t="s">
        <v>74</v>
      </c>
      <c r="D306" t="s">
        <v>74</v>
      </c>
      <c r="E306" t="s">
        <v>74</v>
      </c>
      <c r="F306" t="s">
        <v>2540</v>
      </c>
      <c r="G306" t="s">
        <v>74</v>
      </c>
      <c r="H306" t="s">
        <v>74</v>
      </c>
      <c r="I306" t="s">
        <v>2541</v>
      </c>
      <c r="J306" t="s">
        <v>77</v>
      </c>
      <c r="K306" t="s">
        <v>74</v>
      </c>
      <c r="L306" t="s">
        <v>74</v>
      </c>
      <c r="M306" t="s">
        <v>78</v>
      </c>
      <c r="N306" t="s">
        <v>52</v>
      </c>
      <c r="O306" t="s">
        <v>79</v>
      </c>
      <c r="P306" t="s">
        <v>80</v>
      </c>
      <c r="Q306" t="s">
        <v>81</v>
      </c>
      <c r="R306" t="s">
        <v>74</v>
      </c>
      <c r="S306" t="s">
        <v>82</v>
      </c>
      <c r="T306" t="s">
        <v>74</v>
      </c>
      <c r="U306" t="s">
        <v>2542</v>
      </c>
      <c r="V306" t="s">
        <v>74</v>
      </c>
      <c r="W306" t="s">
        <v>2543</v>
      </c>
      <c r="X306" t="s">
        <v>2544</v>
      </c>
      <c r="Y306" t="s">
        <v>74</v>
      </c>
      <c r="Z306" t="s">
        <v>2545</v>
      </c>
      <c r="AA306" t="s">
        <v>1020</v>
      </c>
      <c r="AB306" t="s">
        <v>1021</v>
      </c>
      <c r="AC306" t="s">
        <v>74</v>
      </c>
      <c r="AD306" t="s">
        <v>74</v>
      </c>
      <c r="AE306" t="s">
        <v>74</v>
      </c>
      <c r="AF306" t="s">
        <v>74</v>
      </c>
      <c r="AG306">
        <v>7</v>
      </c>
      <c r="AH306">
        <v>0</v>
      </c>
      <c r="AI306">
        <v>0</v>
      </c>
      <c r="AJ306">
        <v>0</v>
      </c>
      <c r="AK306">
        <v>0</v>
      </c>
      <c r="AL306" t="s">
        <v>88</v>
      </c>
      <c r="AM306" t="s">
        <v>89</v>
      </c>
      <c r="AN306" t="s">
        <v>90</v>
      </c>
      <c r="AO306" t="s">
        <v>91</v>
      </c>
      <c r="AP306" t="s">
        <v>92</v>
      </c>
      <c r="AQ306" t="s">
        <v>74</v>
      </c>
      <c r="AR306" t="s">
        <v>93</v>
      </c>
      <c r="AS306" t="s">
        <v>94</v>
      </c>
      <c r="AT306" t="s">
        <v>95</v>
      </c>
      <c r="AU306">
        <v>2008</v>
      </c>
      <c r="AV306">
        <v>43</v>
      </c>
      <c r="AW306">
        <v>7</v>
      </c>
      <c r="AX306" t="s">
        <v>74</v>
      </c>
      <c r="AY306" t="s">
        <v>96</v>
      </c>
      <c r="AZ306" t="s">
        <v>74</v>
      </c>
      <c r="BA306" t="s">
        <v>74</v>
      </c>
      <c r="BB306" t="s">
        <v>2546</v>
      </c>
      <c r="BC306" t="s">
        <v>2546</v>
      </c>
      <c r="BD306" t="s">
        <v>74</v>
      </c>
      <c r="BE306" t="s">
        <v>74</v>
      </c>
      <c r="BF306" t="s">
        <v>74</v>
      </c>
      <c r="BG306" t="s">
        <v>74</v>
      </c>
      <c r="BH306" t="s">
        <v>74</v>
      </c>
      <c r="BI306">
        <v>1</v>
      </c>
      <c r="BJ306" t="s">
        <v>98</v>
      </c>
      <c r="BK306" t="s">
        <v>99</v>
      </c>
      <c r="BL306" t="s">
        <v>98</v>
      </c>
      <c r="BM306" t="s">
        <v>100</v>
      </c>
      <c r="BN306" t="s">
        <v>74</v>
      </c>
      <c r="BO306" t="s">
        <v>74</v>
      </c>
      <c r="BP306" t="s">
        <v>74</v>
      </c>
      <c r="BQ306" t="s">
        <v>74</v>
      </c>
      <c r="BR306" t="s">
        <v>101</v>
      </c>
      <c r="BS306" t="s">
        <v>2547</v>
      </c>
      <c r="BT306" t="str">
        <f>HYPERLINK("https%3A%2F%2Fwww.webofscience.com%2Fwos%2Fwoscc%2Ffull-record%2FWOS:000257683100313","View Full Record in Web of Science")</f>
        <v>View Full Record in Web of Science</v>
      </c>
    </row>
    <row r="307" spans="1:72" x14ac:dyDescent="0.15">
      <c r="A307" t="s">
        <v>72</v>
      </c>
      <c r="B307" t="s">
        <v>2548</v>
      </c>
      <c r="C307" t="s">
        <v>74</v>
      </c>
      <c r="D307" t="s">
        <v>74</v>
      </c>
      <c r="E307" t="s">
        <v>74</v>
      </c>
      <c r="F307" t="s">
        <v>2549</v>
      </c>
      <c r="G307" t="s">
        <v>74</v>
      </c>
      <c r="H307" t="s">
        <v>74</v>
      </c>
      <c r="I307" t="s">
        <v>2550</v>
      </c>
      <c r="J307" t="s">
        <v>77</v>
      </c>
      <c r="K307" t="s">
        <v>74</v>
      </c>
      <c r="L307" t="s">
        <v>74</v>
      </c>
      <c r="M307" t="s">
        <v>78</v>
      </c>
      <c r="N307" t="s">
        <v>52</v>
      </c>
      <c r="O307" t="s">
        <v>79</v>
      </c>
      <c r="P307" t="s">
        <v>80</v>
      </c>
      <c r="Q307" t="s">
        <v>81</v>
      </c>
      <c r="R307" t="s">
        <v>74</v>
      </c>
      <c r="S307" t="s">
        <v>82</v>
      </c>
      <c r="T307" t="s">
        <v>74</v>
      </c>
      <c r="U307" t="s">
        <v>2551</v>
      </c>
      <c r="V307" t="s">
        <v>74</v>
      </c>
      <c r="W307" t="s">
        <v>2552</v>
      </c>
      <c r="X307" t="s">
        <v>2553</v>
      </c>
      <c r="Y307" t="s">
        <v>74</v>
      </c>
      <c r="Z307" t="s">
        <v>2554</v>
      </c>
      <c r="AA307" t="s">
        <v>74</v>
      </c>
      <c r="AB307" t="s">
        <v>74</v>
      </c>
      <c r="AC307" t="s">
        <v>74</v>
      </c>
      <c r="AD307" t="s">
        <v>74</v>
      </c>
      <c r="AE307" t="s">
        <v>74</v>
      </c>
      <c r="AF307" t="s">
        <v>74</v>
      </c>
      <c r="AG307">
        <v>6</v>
      </c>
      <c r="AH307">
        <v>0</v>
      </c>
      <c r="AI307">
        <v>0</v>
      </c>
      <c r="AJ307">
        <v>0</v>
      </c>
      <c r="AK307">
        <v>6</v>
      </c>
      <c r="AL307" t="s">
        <v>109</v>
      </c>
      <c r="AM307" t="s">
        <v>110</v>
      </c>
      <c r="AN307" t="s">
        <v>111</v>
      </c>
      <c r="AO307" t="s">
        <v>91</v>
      </c>
      <c r="AP307" t="s">
        <v>74</v>
      </c>
      <c r="AQ307" t="s">
        <v>74</v>
      </c>
      <c r="AR307" t="s">
        <v>93</v>
      </c>
      <c r="AS307" t="s">
        <v>94</v>
      </c>
      <c r="AT307" t="s">
        <v>95</v>
      </c>
      <c r="AU307">
        <v>2008</v>
      </c>
      <c r="AV307">
        <v>43</v>
      </c>
      <c r="AW307">
        <v>7</v>
      </c>
      <c r="AX307" t="s">
        <v>74</v>
      </c>
      <c r="AY307" t="s">
        <v>96</v>
      </c>
      <c r="AZ307" t="s">
        <v>74</v>
      </c>
      <c r="BA307" t="s">
        <v>74</v>
      </c>
      <c r="BB307" t="s">
        <v>2555</v>
      </c>
      <c r="BC307" t="s">
        <v>2555</v>
      </c>
      <c r="BD307" t="s">
        <v>74</v>
      </c>
      <c r="BE307" t="s">
        <v>74</v>
      </c>
      <c r="BF307" t="s">
        <v>74</v>
      </c>
      <c r="BG307" t="s">
        <v>74</v>
      </c>
      <c r="BH307" t="s">
        <v>74</v>
      </c>
      <c r="BI307">
        <v>1</v>
      </c>
      <c r="BJ307" t="s">
        <v>98</v>
      </c>
      <c r="BK307" t="s">
        <v>113</v>
      </c>
      <c r="BL307" t="s">
        <v>98</v>
      </c>
      <c r="BM307" t="s">
        <v>100</v>
      </c>
      <c r="BN307" t="s">
        <v>74</v>
      </c>
      <c r="BO307" t="s">
        <v>74</v>
      </c>
      <c r="BP307" t="s">
        <v>74</v>
      </c>
      <c r="BQ307" t="s">
        <v>74</v>
      </c>
      <c r="BR307" t="s">
        <v>101</v>
      </c>
      <c r="BS307" t="s">
        <v>2556</v>
      </c>
      <c r="BT307" t="str">
        <f>HYPERLINK("https%3A%2F%2Fwww.webofscience.com%2Fwos%2Fwoscc%2Ffull-record%2FWOS:000257683100360","View Full Record in Web of Science")</f>
        <v>View Full Record in Web of Science</v>
      </c>
    </row>
    <row r="308" spans="1:72" x14ac:dyDescent="0.15">
      <c r="A308" t="s">
        <v>72</v>
      </c>
      <c r="B308" t="s">
        <v>2557</v>
      </c>
      <c r="C308" t="s">
        <v>74</v>
      </c>
      <c r="D308" t="s">
        <v>74</v>
      </c>
      <c r="E308" t="s">
        <v>74</v>
      </c>
      <c r="F308" t="s">
        <v>2558</v>
      </c>
      <c r="G308" t="s">
        <v>74</v>
      </c>
      <c r="H308" t="s">
        <v>74</v>
      </c>
      <c r="I308" t="s">
        <v>2559</v>
      </c>
      <c r="J308" t="s">
        <v>77</v>
      </c>
      <c r="K308" t="s">
        <v>74</v>
      </c>
      <c r="L308" t="s">
        <v>74</v>
      </c>
      <c r="M308" t="s">
        <v>78</v>
      </c>
      <c r="N308" t="s">
        <v>52</v>
      </c>
      <c r="O308" t="s">
        <v>79</v>
      </c>
      <c r="P308" t="s">
        <v>80</v>
      </c>
      <c r="Q308" t="s">
        <v>81</v>
      </c>
      <c r="R308" t="s">
        <v>74</v>
      </c>
      <c r="S308" t="s">
        <v>82</v>
      </c>
      <c r="T308" t="s">
        <v>74</v>
      </c>
      <c r="U308" t="s">
        <v>2560</v>
      </c>
      <c r="V308" t="s">
        <v>74</v>
      </c>
      <c r="W308" t="s">
        <v>2561</v>
      </c>
      <c r="X308" t="s">
        <v>2562</v>
      </c>
      <c r="Y308" t="s">
        <v>74</v>
      </c>
      <c r="Z308" t="s">
        <v>2554</v>
      </c>
      <c r="AA308" t="s">
        <v>74</v>
      </c>
      <c r="AB308" t="s">
        <v>74</v>
      </c>
      <c r="AC308" t="s">
        <v>74</v>
      </c>
      <c r="AD308" t="s">
        <v>74</v>
      </c>
      <c r="AE308" t="s">
        <v>74</v>
      </c>
      <c r="AF308" t="s">
        <v>74</v>
      </c>
      <c r="AG308">
        <v>4</v>
      </c>
      <c r="AH308">
        <v>0</v>
      </c>
      <c r="AI308">
        <v>0</v>
      </c>
      <c r="AJ308">
        <v>0</v>
      </c>
      <c r="AK308">
        <v>0</v>
      </c>
      <c r="AL308" t="s">
        <v>109</v>
      </c>
      <c r="AM308" t="s">
        <v>110</v>
      </c>
      <c r="AN308" t="s">
        <v>111</v>
      </c>
      <c r="AO308" t="s">
        <v>91</v>
      </c>
      <c r="AP308" t="s">
        <v>74</v>
      </c>
      <c r="AQ308" t="s">
        <v>74</v>
      </c>
      <c r="AR308" t="s">
        <v>93</v>
      </c>
      <c r="AS308" t="s">
        <v>94</v>
      </c>
      <c r="AT308" t="s">
        <v>95</v>
      </c>
      <c r="AU308">
        <v>2008</v>
      </c>
      <c r="AV308">
        <v>43</v>
      </c>
      <c r="AW308">
        <v>7</v>
      </c>
      <c r="AX308" t="s">
        <v>74</v>
      </c>
      <c r="AY308" t="s">
        <v>96</v>
      </c>
      <c r="AZ308" t="s">
        <v>74</v>
      </c>
      <c r="BA308" t="s">
        <v>74</v>
      </c>
      <c r="BB308" t="s">
        <v>2537</v>
      </c>
      <c r="BC308" t="s">
        <v>2537</v>
      </c>
      <c r="BD308" t="s">
        <v>74</v>
      </c>
      <c r="BE308" t="s">
        <v>74</v>
      </c>
      <c r="BF308" t="s">
        <v>74</v>
      </c>
      <c r="BG308" t="s">
        <v>74</v>
      </c>
      <c r="BH308" t="s">
        <v>74</v>
      </c>
      <c r="BI308">
        <v>1</v>
      </c>
      <c r="BJ308" t="s">
        <v>98</v>
      </c>
      <c r="BK308" t="s">
        <v>113</v>
      </c>
      <c r="BL308" t="s">
        <v>98</v>
      </c>
      <c r="BM308" t="s">
        <v>100</v>
      </c>
      <c r="BN308" t="s">
        <v>74</v>
      </c>
      <c r="BO308" t="s">
        <v>74</v>
      </c>
      <c r="BP308" t="s">
        <v>74</v>
      </c>
      <c r="BQ308" t="s">
        <v>74</v>
      </c>
      <c r="BR308" t="s">
        <v>101</v>
      </c>
      <c r="BS308" t="s">
        <v>2563</v>
      </c>
      <c r="BT308" t="str">
        <f>HYPERLINK("https%3A%2F%2Fwww.webofscience.com%2Fwos%2Fwoscc%2Ffull-record%2FWOS:000257683100359","View Full Record in Web of Science")</f>
        <v>View Full Record in Web of Science</v>
      </c>
    </row>
    <row r="309" spans="1:72" x14ac:dyDescent="0.15">
      <c r="A309" t="s">
        <v>72</v>
      </c>
      <c r="B309" t="s">
        <v>2564</v>
      </c>
      <c r="C309" t="s">
        <v>74</v>
      </c>
      <c r="D309" t="s">
        <v>74</v>
      </c>
      <c r="E309" t="s">
        <v>74</v>
      </c>
      <c r="F309" t="s">
        <v>2565</v>
      </c>
      <c r="G309" t="s">
        <v>74</v>
      </c>
      <c r="H309" t="s">
        <v>74</v>
      </c>
      <c r="I309" t="s">
        <v>2566</v>
      </c>
      <c r="J309" t="s">
        <v>77</v>
      </c>
      <c r="K309" t="s">
        <v>74</v>
      </c>
      <c r="L309" t="s">
        <v>74</v>
      </c>
      <c r="M309" t="s">
        <v>78</v>
      </c>
      <c r="N309" t="s">
        <v>52</v>
      </c>
      <c r="O309" t="s">
        <v>79</v>
      </c>
      <c r="P309" t="s">
        <v>80</v>
      </c>
      <c r="Q309" t="s">
        <v>81</v>
      </c>
      <c r="R309" t="s">
        <v>74</v>
      </c>
      <c r="S309" t="s">
        <v>82</v>
      </c>
      <c r="T309" t="s">
        <v>74</v>
      </c>
      <c r="U309" t="s">
        <v>125</v>
      </c>
      <c r="V309" t="s">
        <v>74</v>
      </c>
      <c r="W309" t="s">
        <v>2567</v>
      </c>
      <c r="X309" t="s">
        <v>2568</v>
      </c>
      <c r="Y309" t="s">
        <v>74</v>
      </c>
      <c r="Z309" t="s">
        <v>74</v>
      </c>
      <c r="AA309" t="s">
        <v>2569</v>
      </c>
      <c r="AB309" t="s">
        <v>74</v>
      </c>
      <c r="AC309" t="s">
        <v>74</v>
      </c>
      <c r="AD309" t="s">
        <v>74</v>
      </c>
      <c r="AE309" t="s">
        <v>74</v>
      </c>
      <c r="AF309" t="s">
        <v>74</v>
      </c>
      <c r="AG309">
        <v>3</v>
      </c>
      <c r="AH309">
        <v>0</v>
      </c>
      <c r="AI309">
        <v>0</v>
      </c>
      <c r="AJ309">
        <v>0</v>
      </c>
      <c r="AK309">
        <v>1</v>
      </c>
      <c r="AL309" t="s">
        <v>109</v>
      </c>
      <c r="AM309" t="s">
        <v>110</v>
      </c>
      <c r="AN309" t="s">
        <v>111</v>
      </c>
      <c r="AO309" t="s">
        <v>91</v>
      </c>
      <c r="AP309" t="s">
        <v>74</v>
      </c>
      <c r="AQ309" t="s">
        <v>74</v>
      </c>
      <c r="AR309" t="s">
        <v>93</v>
      </c>
      <c r="AS309" t="s">
        <v>94</v>
      </c>
      <c r="AT309" t="s">
        <v>95</v>
      </c>
      <c r="AU309">
        <v>2008</v>
      </c>
      <c r="AV309">
        <v>43</v>
      </c>
      <c r="AW309">
        <v>7</v>
      </c>
      <c r="AX309" t="s">
        <v>74</v>
      </c>
      <c r="AY309" t="s">
        <v>96</v>
      </c>
      <c r="AZ309" t="s">
        <v>74</v>
      </c>
      <c r="BA309" t="s">
        <v>74</v>
      </c>
      <c r="BB309" t="s">
        <v>2546</v>
      </c>
      <c r="BC309" t="s">
        <v>2546</v>
      </c>
      <c r="BD309" t="s">
        <v>74</v>
      </c>
      <c r="BE309" t="s">
        <v>74</v>
      </c>
      <c r="BF309" t="s">
        <v>74</v>
      </c>
      <c r="BG309" t="s">
        <v>74</v>
      </c>
      <c r="BH309" t="s">
        <v>74</v>
      </c>
      <c r="BI309">
        <v>1</v>
      </c>
      <c r="BJ309" t="s">
        <v>98</v>
      </c>
      <c r="BK309" t="s">
        <v>113</v>
      </c>
      <c r="BL309" t="s">
        <v>98</v>
      </c>
      <c r="BM309" t="s">
        <v>100</v>
      </c>
      <c r="BN309" t="s">
        <v>74</v>
      </c>
      <c r="BO309" t="s">
        <v>74</v>
      </c>
      <c r="BP309" t="s">
        <v>74</v>
      </c>
      <c r="BQ309" t="s">
        <v>74</v>
      </c>
      <c r="BR309" t="s">
        <v>101</v>
      </c>
      <c r="BS309" t="s">
        <v>2570</v>
      </c>
      <c r="BT309" t="str">
        <f>HYPERLINK("https%3A%2F%2Fwww.webofscience.com%2Fwos%2Fwoscc%2Ffull-record%2FWOS:000257683100314","View Full Record in Web of Science")</f>
        <v>View Full Record in Web of Science</v>
      </c>
    </row>
    <row r="310" spans="1:72" x14ac:dyDescent="0.15">
      <c r="A310" t="s">
        <v>72</v>
      </c>
      <c r="B310" t="s">
        <v>2571</v>
      </c>
      <c r="C310" t="s">
        <v>74</v>
      </c>
      <c r="D310" t="s">
        <v>74</v>
      </c>
      <c r="E310" t="s">
        <v>74</v>
      </c>
      <c r="F310" t="s">
        <v>2572</v>
      </c>
      <c r="G310" t="s">
        <v>74</v>
      </c>
      <c r="H310" t="s">
        <v>74</v>
      </c>
      <c r="I310" t="s">
        <v>2573</v>
      </c>
      <c r="J310" t="s">
        <v>77</v>
      </c>
      <c r="K310" t="s">
        <v>74</v>
      </c>
      <c r="L310" t="s">
        <v>74</v>
      </c>
      <c r="M310" t="s">
        <v>78</v>
      </c>
      <c r="N310" t="s">
        <v>52</v>
      </c>
      <c r="O310" t="s">
        <v>79</v>
      </c>
      <c r="P310" t="s">
        <v>80</v>
      </c>
      <c r="Q310" t="s">
        <v>81</v>
      </c>
      <c r="R310" t="s">
        <v>74</v>
      </c>
      <c r="S310" t="s">
        <v>82</v>
      </c>
      <c r="T310" t="s">
        <v>74</v>
      </c>
      <c r="U310" t="s">
        <v>74</v>
      </c>
      <c r="V310" t="s">
        <v>74</v>
      </c>
      <c r="W310" t="s">
        <v>2574</v>
      </c>
      <c r="X310" t="s">
        <v>2575</v>
      </c>
      <c r="Y310" t="s">
        <v>74</v>
      </c>
      <c r="Z310" t="s">
        <v>2576</v>
      </c>
      <c r="AA310" t="s">
        <v>2577</v>
      </c>
      <c r="AB310" t="s">
        <v>2578</v>
      </c>
      <c r="AC310" t="s">
        <v>74</v>
      </c>
      <c r="AD310" t="s">
        <v>74</v>
      </c>
      <c r="AE310" t="s">
        <v>74</v>
      </c>
      <c r="AF310" t="s">
        <v>74</v>
      </c>
      <c r="AG310">
        <v>1</v>
      </c>
      <c r="AH310">
        <v>3</v>
      </c>
      <c r="AI310">
        <v>3</v>
      </c>
      <c r="AJ310">
        <v>0</v>
      </c>
      <c r="AK310">
        <v>6</v>
      </c>
      <c r="AL310" t="s">
        <v>149</v>
      </c>
      <c r="AM310" t="s">
        <v>150</v>
      </c>
      <c r="AN310" t="s">
        <v>151</v>
      </c>
      <c r="AO310" t="s">
        <v>91</v>
      </c>
      <c r="AP310" t="s">
        <v>74</v>
      </c>
      <c r="AQ310" t="s">
        <v>74</v>
      </c>
      <c r="AR310" t="s">
        <v>93</v>
      </c>
      <c r="AS310" t="s">
        <v>94</v>
      </c>
      <c r="AT310" t="s">
        <v>95</v>
      </c>
      <c r="AU310">
        <v>2008</v>
      </c>
      <c r="AV310">
        <v>43</v>
      </c>
      <c r="AW310">
        <v>7</v>
      </c>
      <c r="AX310" t="s">
        <v>74</v>
      </c>
      <c r="AY310" t="s">
        <v>96</v>
      </c>
      <c r="AZ310" t="s">
        <v>74</v>
      </c>
      <c r="BA310" t="s">
        <v>74</v>
      </c>
      <c r="BB310" t="s">
        <v>2579</v>
      </c>
      <c r="BC310" t="s">
        <v>2579</v>
      </c>
      <c r="BD310" t="s">
        <v>74</v>
      </c>
      <c r="BE310" t="s">
        <v>74</v>
      </c>
      <c r="BF310" t="s">
        <v>74</v>
      </c>
      <c r="BG310" t="s">
        <v>74</v>
      </c>
      <c r="BH310" t="s">
        <v>74</v>
      </c>
      <c r="BI310">
        <v>1</v>
      </c>
      <c r="BJ310" t="s">
        <v>98</v>
      </c>
      <c r="BK310" t="s">
        <v>99</v>
      </c>
      <c r="BL310" t="s">
        <v>98</v>
      </c>
      <c r="BM310" t="s">
        <v>100</v>
      </c>
      <c r="BN310" t="s">
        <v>74</v>
      </c>
      <c r="BO310" t="s">
        <v>74</v>
      </c>
      <c r="BP310" t="s">
        <v>74</v>
      </c>
      <c r="BQ310" t="s">
        <v>74</v>
      </c>
      <c r="BR310" t="s">
        <v>101</v>
      </c>
      <c r="BS310" t="s">
        <v>2580</v>
      </c>
      <c r="BT310" t="str">
        <f>HYPERLINK("https%3A%2F%2Fwww.webofscience.com%2Fwos%2Fwoscc%2Ffull-record%2FWOS:000257683100315","View Full Record in Web of Science")</f>
        <v>View Full Record in Web of Science</v>
      </c>
    </row>
    <row r="311" spans="1:72" x14ac:dyDescent="0.15">
      <c r="A311" t="s">
        <v>72</v>
      </c>
      <c r="B311" t="s">
        <v>2581</v>
      </c>
      <c r="C311" t="s">
        <v>74</v>
      </c>
      <c r="D311" t="s">
        <v>74</v>
      </c>
      <c r="E311" t="s">
        <v>74</v>
      </c>
      <c r="F311" t="s">
        <v>2582</v>
      </c>
      <c r="G311" t="s">
        <v>74</v>
      </c>
      <c r="H311" t="s">
        <v>74</v>
      </c>
      <c r="I311" t="s">
        <v>2583</v>
      </c>
      <c r="J311" t="s">
        <v>77</v>
      </c>
      <c r="K311" t="s">
        <v>74</v>
      </c>
      <c r="L311" t="s">
        <v>74</v>
      </c>
      <c r="M311" t="s">
        <v>78</v>
      </c>
      <c r="N311" t="s">
        <v>52</v>
      </c>
      <c r="O311" t="s">
        <v>79</v>
      </c>
      <c r="P311" t="s">
        <v>80</v>
      </c>
      <c r="Q311" t="s">
        <v>81</v>
      </c>
      <c r="R311" t="s">
        <v>74</v>
      </c>
      <c r="S311" t="s">
        <v>82</v>
      </c>
      <c r="T311" t="s">
        <v>74</v>
      </c>
      <c r="U311" t="s">
        <v>74</v>
      </c>
      <c r="V311" t="s">
        <v>74</v>
      </c>
      <c r="W311" t="s">
        <v>2584</v>
      </c>
      <c r="X311" t="s">
        <v>561</v>
      </c>
      <c r="Y311" t="s">
        <v>74</v>
      </c>
      <c r="Z311" t="s">
        <v>2585</v>
      </c>
      <c r="AA311" t="s">
        <v>74</v>
      </c>
      <c r="AB311" t="s">
        <v>74</v>
      </c>
      <c r="AC311" t="s">
        <v>74</v>
      </c>
      <c r="AD311" t="s">
        <v>74</v>
      </c>
      <c r="AE311" t="s">
        <v>74</v>
      </c>
      <c r="AF311" t="s">
        <v>74</v>
      </c>
      <c r="AG311">
        <v>3</v>
      </c>
      <c r="AH311">
        <v>1</v>
      </c>
      <c r="AI311">
        <v>1</v>
      </c>
      <c r="AJ311">
        <v>0</v>
      </c>
      <c r="AK311">
        <v>0</v>
      </c>
      <c r="AL311" t="s">
        <v>109</v>
      </c>
      <c r="AM311" t="s">
        <v>110</v>
      </c>
      <c r="AN311" t="s">
        <v>111</v>
      </c>
      <c r="AO311" t="s">
        <v>91</v>
      </c>
      <c r="AP311" t="s">
        <v>74</v>
      </c>
      <c r="AQ311" t="s">
        <v>74</v>
      </c>
      <c r="AR311" t="s">
        <v>93</v>
      </c>
      <c r="AS311" t="s">
        <v>94</v>
      </c>
      <c r="AT311" t="s">
        <v>95</v>
      </c>
      <c r="AU311">
        <v>2008</v>
      </c>
      <c r="AV311">
        <v>43</v>
      </c>
      <c r="AW311">
        <v>7</v>
      </c>
      <c r="AX311" t="s">
        <v>74</v>
      </c>
      <c r="AY311" t="s">
        <v>96</v>
      </c>
      <c r="AZ311" t="s">
        <v>74</v>
      </c>
      <c r="BA311" t="s">
        <v>74</v>
      </c>
      <c r="BB311" t="s">
        <v>2579</v>
      </c>
      <c r="BC311" t="s">
        <v>2579</v>
      </c>
      <c r="BD311" t="s">
        <v>74</v>
      </c>
      <c r="BE311" t="s">
        <v>74</v>
      </c>
      <c r="BF311" t="s">
        <v>74</v>
      </c>
      <c r="BG311" t="s">
        <v>74</v>
      </c>
      <c r="BH311" t="s">
        <v>74</v>
      </c>
      <c r="BI311">
        <v>1</v>
      </c>
      <c r="BJ311" t="s">
        <v>98</v>
      </c>
      <c r="BK311" t="s">
        <v>113</v>
      </c>
      <c r="BL311" t="s">
        <v>98</v>
      </c>
      <c r="BM311" t="s">
        <v>100</v>
      </c>
      <c r="BN311" t="s">
        <v>74</v>
      </c>
      <c r="BO311" t="s">
        <v>74</v>
      </c>
      <c r="BP311" t="s">
        <v>74</v>
      </c>
      <c r="BQ311" t="s">
        <v>74</v>
      </c>
      <c r="BR311" t="s">
        <v>101</v>
      </c>
      <c r="BS311" t="s">
        <v>2586</v>
      </c>
      <c r="BT311" t="str">
        <f>HYPERLINK("https%3A%2F%2Fwww.webofscience.com%2Fwos%2Fwoscc%2Ffull-record%2FWOS:000257683100316","View Full Record in Web of Science")</f>
        <v>View Full Record in Web of Science</v>
      </c>
    </row>
    <row r="312" spans="1:72" x14ac:dyDescent="0.15">
      <c r="A312" t="s">
        <v>72</v>
      </c>
      <c r="B312" t="s">
        <v>2587</v>
      </c>
      <c r="C312" t="s">
        <v>74</v>
      </c>
      <c r="D312" t="s">
        <v>74</v>
      </c>
      <c r="E312" t="s">
        <v>74</v>
      </c>
      <c r="F312" t="s">
        <v>2588</v>
      </c>
      <c r="G312" t="s">
        <v>74</v>
      </c>
      <c r="H312" t="s">
        <v>74</v>
      </c>
      <c r="I312" t="s">
        <v>2589</v>
      </c>
      <c r="J312" t="s">
        <v>77</v>
      </c>
      <c r="K312" t="s">
        <v>74</v>
      </c>
      <c r="L312" t="s">
        <v>74</v>
      </c>
      <c r="M312" t="s">
        <v>78</v>
      </c>
      <c r="N312" t="s">
        <v>52</v>
      </c>
      <c r="O312" t="s">
        <v>79</v>
      </c>
      <c r="P312" t="s">
        <v>80</v>
      </c>
      <c r="Q312" t="s">
        <v>81</v>
      </c>
      <c r="R312" t="s">
        <v>74</v>
      </c>
      <c r="S312" t="s">
        <v>82</v>
      </c>
      <c r="T312" t="s">
        <v>74</v>
      </c>
      <c r="U312" t="s">
        <v>74</v>
      </c>
      <c r="V312" t="s">
        <v>74</v>
      </c>
      <c r="W312" t="s">
        <v>74</v>
      </c>
      <c r="X312" t="s">
        <v>74</v>
      </c>
      <c r="Y312" t="s">
        <v>74</v>
      </c>
      <c r="Z312" t="s">
        <v>74</v>
      </c>
      <c r="AA312" t="s">
        <v>74</v>
      </c>
      <c r="AB312" t="s">
        <v>74</v>
      </c>
      <c r="AC312" t="s">
        <v>74</v>
      </c>
      <c r="AD312" t="s">
        <v>74</v>
      </c>
      <c r="AE312" t="s">
        <v>74</v>
      </c>
      <c r="AF312" t="s">
        <v>74</v>
      </c>
      <c r="AG312">
        <v>0</v>
      </c>
      <c r="AH312">
        <v>0</v>
      </c>
      <c r="AI312">
        <v>0</v>
      </c>
      <c r="AJ312">
        <v>0</v>
      </c>
      <c r="AK312">
        <v>1</v>
      </c>
      <c r="AL312" t="s">
        <v>109</v>
      </c>
      <c r="AM312" t="s">
        <v>110</v>
      </c>
      <c r="AN312" t="s">
        <v>111</v>
      </c>
      <c r="AO312" t="s">
        <v>91</v>
      </c>
      <c r="AP312" t="s">
        <v>74</v>
      </c>
      <c r="AQ312" t="s">
        <v>74</v>
      </c>
      <c r="AR312" t="s">
        <v>93</v>
      </c>
      <c r="AS312" t="s">
        <v>94</v>
      </c>
      <c r="AT312" t="s">
        <v>95</v>
      </c>
      <c r="AU312">
        <v>2008</v>
      </c>
      <c r="AV312">
        <v>43</v>
      </c>
      <c r="AW312">
        <v>7</v>
      </c>
      <c r="AX312" t="s">
        <v>74</v>
      </c>
      <c r="AY312" t="s">
        <v>96</v>
      </c>
      <c r="AZ312" t="s">
        <v>74</v>
      </c>
      <c r="BA312" t="s">
        <v>74</v>
      </c>
      <c r="BB312" t="s">
        <v>2590</v>
      </c>
      <c r="BC312" t="s">
        <v>2590</v>
      </c>
      <c r="BD312" t="s">
        <v>74</v>
      </c>
      <c r="BE312" t="s">
        <v>74</v>
      </c>
      <c r="BF312" t="s">
        <v>74</v>
      </c>
      <c r="BG312" t="s">
        <v>74</v>
      </c>
      <c r="BH312" t="s">
        <v>74</v>
      </c>
      <c r="BI312">
        <v>1</v>
      </c>
      <c r="BJ312" t="s">
        <v>98</v>
      </c>
      <c r="BK312" t="s">
        <v>113</v>
      </c>
      <c r="BL312" t="s">
        <v>98</v>
      </c>
      <c r="BM312" t="s">
        <v>100</v>
      </c>
      <c r="BN312" t="s">
        <v>74</v>
      </c>
      <c r="BO312" t="s">
        <v>74</v>
      </c>
      <c r="BP312" t="s">
        <v>74</v>
      </c>
      <c r="BQ312" t="s">
        <v>74</v>
      </c>
      <c r="BR312" t="s">
        <v>101</v>
      </c>
      <c r="BS312" t="s">
        <v>2591</v>
      </c>
      <c r="BT312" t="str">
        <f>HYPERLINK("https%3A%2F%2Fwww.webofscience.com%2Fwos%2Fwoscc%2Ffull-record%2FWOS:000257683100317","View Full Record in Web of Science")</f>
        <v>View Full Record in Web of Science</v>
      </c>
    </row>
    <row r="313" spans="1:72" x14ac:dyDescent="0.15">
      <c r="A313" t="s">
        <v>72</v>
      </c>
      <c r="B313" t="s">
        <v>2592</v>
      </c>
      <c r="C313" t="s">
        <v>74</v>
      </c>
      <c r="D313" t="s">
        <v>74</v>
      </c>
      <c r="E313" t="s">
        <v>74</v>
      </c>
      <c r="F313" t="s">
        <v>2593</v>
      </c>
      <c r="G313" t="s">
        <v>74</v>
      </c>
      <c r="H313" t="s">
        <v>74</v>
      </c>
      <c r="I313" t="s">
        <v>2594</v>
      </c>
      <c r="J313" t="s">
        <v>77</v>
      </c>
      <c r="K313" t="s">
        <v>74</v>
      </c>
      <c r="L313" t="s">
        <v>74</v>
      </c>
      <c r="M313" t="s">
        <v>78</v>
      </c>
      <c r="N313" t="s">
        <v>52</v>
      </c>
      <c r="O313" t="s">
        <v>79</v>
      </c>
      <c r="P313" t="s">
        <v>80</v>
      </c>
      <c r="Q313" t="s">
        <v>81</v>
      </c>
      <c r="R313" t="s">
        <v>74</v>
      </c>
      <c r="S313" t="s">
        <v>82</v>
      </c>
      <c r="T313" t="s">
        <v>74</v>
      </c>
      <c r="U313" t="s">
        <v>2595</v>
      </c>
      <c r="V313" t="s">
        <v>74</v>
      </c>
      <c r="W313" t="s">
        <v>2596</v>
      </c>
      <c r="X313" t="s">
        <v>2597</v>
      </c>
      <c r="Y313" t="s">
        <v>74</v>
      </c>
      <c r="Z313" t="s">
        <v>2598</v>
      </c>
      <c r="AA313" t="s">
        <v>2599</v>
      </c>
      <c r="AB313" t="s">
        <v>2600</v>
      </c>
      <c r="AC313" t="s">
        <v>74</v>
      </c>
      <c r="AD313" t="s">
        <v>74</v>
      </c>
      <c r="AE313" t="s">
        <v>74</v>
      </c>
      <c r="AF313" t="s">
        <v>74</v>
      </c>
      <c r="AG313">
        <v>6</v>
      </c>
      <c r="AH313">
        <v>0</v>
      </c>
      <c r="AI313">
        <v>0</v>
      </c>
      <c r="AJ313">
        <v>0</v>
      </c>
      <c r="AK313">
        <v>2</v>
      </c>
      <c r="AL313" t="s">
        <v>109</v>
      </c>
      <c r="AM313" t="s">
        <v>110</v>
      </c>
      <c r="AN313" t="s">
        <v>111</v>
      </c>
      <c r="AO313" t="s">
        <v>91</v>
      </c>
      <c r="AP313" t="s">
        <v>74</v>
      </c>
      <c r="AQ313" t="s">
        <v>74</v>
      </c>
      <c r="AR313" t="s">
        <v>93</v>
      </c>
      <c r="AS313" t="s">
        <v>94</v>
      </c>
      <c r="AT313" t="s">
        <v>95</v>
      </c>
      <c r="AU313">
        <v>2008</v>
      </c>
      <c r="AV313">
        <v>43</v>
      </c>
      <c r="AW313">
        <v>7</v>
      </c>
      <c r="AX313" t="s">
        <v>74</v>
      </c>
      <c r="AY313" t="s">
        <v>96</v>
      </c>
      <c r="AZ313" t="s">
        <v>74</v>
      </c>
      <c r="BA313" t="s">
        <v>74</v>
      </c>
      <c r="BB313" t="s">
        <v>2590</v>
      </c>
      <c r="BC313" t="s">
        <v>2590</v>
      </c>
      <c r="BD313" t="s">
        <v>74</v>
      </c>
      <c r="BE313" t="s">
        <v>74</v>
      </c>
      <c r="BF313" t="s">
        <v>74</v>
      </c>
      <c r="BG313" t="s">
        <v>74</v>
      </c>
      <c r="BH313" t="s">
        <v>74</v>
      </c>
      <c r="BI313">
        <v>1</v>
      </c>
      <c r="BJ313" t="s">
        <v>98</v>
      </c>
      <c r="BK313" t="s">
        <v>113</v>
      </c>
      <c r="BL313" t="s">
        <v>98</v>
      </c>
      <c r="BM313" t="s">
        <v>100</v>
      </c>
      <c r="BN313" t="s">
        <v>74</v>
      </c>
      <c r="BO313" t="s">
        <v>74</v>
      </c>
      <c r="BP313" t="s">
        <v>74</v>
      </c>
      <c r="BQ313" t="s">
        <v>74</v>
      </c>
      <c r="BR313" t="s">
        <v>101</v>
      </c>
      <c r="BS313" t="s">
        <v>2601</v>
      </c>
      <c r="BT313" t="str">
        <f>HYPERLINK("https%3A%2F%2Fwww.webofscience.com%2Fwos%2Fwoscc%2Ffull-record%2FWOS:000257683100318","View Full Record in Web of Science")</f>
        <v>View Full Record in Web of Science</v>
      </c>
    </row>
    <row r="314" spans="1:72" x14ac:dyDescent="0.15">
      <c r="A314" t="s">
        <v>72</v>
      </c>
      <c r="B314" t="s">
        <v>2602</v>
      </c>
      <c r="C314" t="s">
        <v>74</v>
      </c>
      <c r="D314" t="s">
        <v>74</v>
      </c>
      <c r="E314" t="s">
        <v>74</v>
      </c>
      <c r="F314" t="s">
        <v>2603</v>
      </c>
      <c r="G314" t="s">
        <v>74</v>
      </c>
      <c r="H314" t="s">
        <v>74</v>
      </c>
      <c r="I314" t="s">
        <v>2604</v>
      </c>
      <c r="J314" t="s">
        <v>77</v>
      </c>
      <c r="K314" t="s">
        <v>74</v>
      </c>
      <c r="L314" t="s">
        <v>74</v>
      </c>
      <c r="M314" t="s">
        <v>78</v>
      </c>
      <c r="N314" t="s">
        <v>52</v>
      </c>
      <c r="O314" t="s">
        <v>79</v>
      </c>
      <c r="P314" t="s">
        <v>80</v>
      </c>
      <c r="Q314" t="s">
        <v>81</v>
      </c>
      <c r="R314" t="s">
        <v>74</v>
      </c>
      <c r="S314" t="s">
        <v>82</v>
      </c>
      <c r="T314" t="s">
        <v>74</v>
      </c>
      <c r="U314" t="s">
        <v>74</v>
      </c>
      <c r="V314" t="s">
        <v>74</v>
      </c>
      <c r="W314" t="s">
        <v>2605</v>
      </c>
      <c r="X314" t="s">
        <v>2606</v>
      </c>
      <c r="Y314" t="s">
        <v>74</v>
      </c>
      <c r="Z314" t="s">
        <v>2607</v>
      </c>
      <c r="AA314" t="s">
        <v>2608</v>
      </c>
      <c r="AB314" t="s">
        <v>74</v>
      </c>
      <c r="AC314" t="s">
        <v>74</v>
      </c>
      <c r="AD314" t="s">
        <v>74</v>
      </c>
      <c r="AE314" t="s">
        <v>74</v>
      </c>
      <c r="AF314" t="s">
        <v>74</v>
      </c>
      <c r="AG314">
        <v>4</v>
      </c>
      <c r="AH314">
        <v>0</v>
      </c>
      <c r="AI314">
        <v>0</v>
      </c>
      <c r="AJ314">
        <v>0</v>
      </c>
      <c r="AK314">
        <v>0</v>
      </c>
      <c r="AL314" t="s">
        <v>88</v>
      </c>
      <c r="AM314" t="s">
        <v>89</v>
      </c>
      <c r="AN314" t="s">
        <v>90</v>
      </c>
      <c r="AO314" t="s">
        <v>91</v>
      </c>
      <c r="AP314" t="s">
        <v>92</v>
      </c>
      <c r="AQ314" t="s">
        <v>74</v>
      </c>
      <c r="AR314" t="s">
        <v>93</v>
      </c>
      <c r="AS314" t="s">
        <v>94</v>
      </c>
      <c r="AT314" t="s">
        <v>95</v>
      </c>
      <c r="AU314">
        <v>2008</v>
      </c>
      <c r="AV314">
        <v>43</v>
      </c>
      <c r="AW314">
        <v>7</v>
      </c>
      <c r="AX314" t="s">
        <v>74</v>
      </c>
      <c r="AY314" t="s">
        <v>96</v>
      </c>
      <c r="AZ314" t="s">
        <v>74</v>
      </c>
      <c r="BA314" t="s">
        <v>74</v>
      </c>
      <c r="BB314" t="s">
        <v>2609</v>
      </c>
      <c r="BC314" t="s">
        <v>2609</v>
      </c>
      <c r="BD314" t="s">
        <v>74</v>
      </c>
      <c r="BE314" t="s">
        <v>74</v>
      </c>
      <c r="BF314" t="s">
        <v>74</v>
      </c>
      <c r="BG314" t="s">
        <v>74</v>
      </c>
      <c r="BH314" t="s">
        <v>74</v>
      </c>
      <c r="BI314">
        <v>1</v>
      </c>
      <c r="BJ314" t="s">
        <v>98</v>
      </c>
      <c r="BK314" t="s">
        <v>99</v>
      </c>
      <c r="BL314" t="s">
        <v>98</v>
      </c>
      <c r="BM314" t="s">
        <v>100</v>
      </c>
      <c r="BN314" t="s">
        <v>74</v>
      </c>
      <c r="BO314" t="s">
        <v>74</v>
      </c>
      <c r="BP314" t="s">
        <v>74</v>
      </c>
      <c r="BQ314" t="s">
        <v>74</v>
      </c>
      <c r="BR314" t="s">
        <v>101</v>
      </c>
      <c r="BS314" t="s">
        <v>2610</v>
      </c>
      <c r="BT314" t="str">
        <f>HYPERLINK("https%3A%2F%2Fwww.webofscience.com%2Fwos%2Fwoscc%2Ffull-record%2FWOS:000257683100319","View Full Record in Web of Science")</f>
        <v>View Full Record in Web of Science</v>
      </c>
    </row>
    <row r="315" spans="1:72" x14ac:dyDescent="0.15">
      <c r="A315" t="s">
        <v>72</v>
      </c>
      <c r="B315" t="s">
        <v>2611</v>
      </c>
      <c r="C315" t="s">
        <v>74</v>
      </c>
      <c r="D315" t="s">
        <v>74</v>
      </c>
      <c r="E315" t="s">
        <v>74</v>
      </c>
      <c r="F315" t="s">
        <v>2612</v>
      </c>
      <c r="G315" t="s">
        <v>74</v>
      </c>
      <c r="H315" t="s">
        <v>74</v>
      </c>
      <c r="I315" t="s">
        <v>2613</v>
      </c>
      <c r="J315" t="s">
        <v>77</v>
      </c>
      <c r="K315" t="s">
        <v>74</v>
      </c>
      <c r="L315" t="s">
        <v>74</v>
      </c>
      <c r="M315" t="s">
        <v>78</v>
      </c>
      <c r="N315" t="s">
        <v>52</v>
      </c>
      <c r="O315" t="s">
        <v>79</v>
      </c>
      <c r="P315" t="s">
        <v>80</v>
      </c>
      <c r="Q315" t="s">
        <v>81</v>
      </c>
      <c r="R315" t="s">
        <v>74</v>
      </c>
      <c r="S315" t="s">
        <v>82</v>
      </c>
      <c r="T315" t="s">
        <v>74</v>
      </c>
      <c r="U315" t="s">
        <v>74</v>
      </c>
      <c r="V315" t="s">
        <v>74</v>
      </c>
      <c r="W315" t="s">
        <v>2614</v>
      </c>
      <c r="X315" t="s">
        <v>2615</v>
      </c>
      <c r="Y315" t="s">
        <v>74</v>
      </c>
      <c r="Z315" t="s">
        <v>2607</v>
      </c>
      <c r="AA315" t="s">
        <v>2616</v>
      </c>
      <c r="AB315" t="s">
        <v>74</v>
      </c>
      <c r="AC315" t="s">
        <v>74</v>
      </c>
      <c r="AD315" t="s">
        <v>74</v>
      </c>
      <c r="AE315" t="s">
        <v>74</v>
      </c>
      <c r="AF315" t="s">
        <v>74</v>
      </c>
      <c r="AG315">
        <v>4</v>
      </c>
      <c r="AH315">
        <v>0</v>
      </c>
      <c r="AI315">
        <v>0</v>
      </c>
      <c r="AJ315">
        <v>0</v>
      </c>
      <c r="AK315">
        <v>1</v>
      </c>
      <c r="AL315" t="s">
        <v>149</v>
      </c>
      <c r="AM315" t="s">
        <v>150</v>
      </c>
      <c r="AN315" t="s">
        <v>151</v>
      </c>
      <c r="AO315" t="s">
        <v>91</v>
      </c>
      <c r="AP315" t="s">
        <v>74</v>
      </c>
      <c r="AQ315" t="s">
        <v>74</v>
      </c>
      <c r="AR315" t="s">
        <v>93</v>
      </c>
      <c r="AS315" t="s">
        <v>94</v>
      </c>
      <c r="AT315" t="s">
        <v>95</v>
      </c>
      <c r="AU315">
        <v>2008</v>
      </c>
      <c r="AV315">
        <v>43</v>
      </c>
      <c r="AW315">
        <v>7</v>
      </c>
      <c r="AX315" t="s">
        <v>74</v>
      </c>
      <c r="AY315" t="s">
        <v>96</v>
      </c>
      <c r="AZ315" t="s">
        <v>74</v>
      </c>
      <c r="BA315" t="s">
        <v>74</v>
      </c>
      <c r="BB315" t="s">
        <v>2609</v>
      </c>
      <c r="BC315" t="s">
        <v>2609</v>
      </c>
      <c r="BD315" t="s">
        <v>74</v>
      </c>
      <c r="BE315" t="s">
        <v>74</v>
      </c>
      <c r="BF315" t="s">
        <v>74</v>
      </c>
      <c r="BG315" t="s">
        <v>74</v>
      </c>
      <c r="BH315" t="s">
        <v>74</v>
      </c>
      <c r="BI315">
        <v>1</v>
      </c>
      <c r="BJ315" t="s">
        <v>98</v>
      </c>
      <c r="BK315" t="s">
        <v>99</v>
      </c>
      <c r="BL315" t="s">
        <v>98</v>
      </c>
      <c r="BM315" t="s">
        <v>100</v>
      </c>
      <c r="BN315" t="s">
        <v>74</v>
      </c>
      <c r="BO315" t="s">
        <v>74</v>
      </c>
      <c r="BP315" t="s">
        <v>74</v>
      </c>
      <c r="BQ315" t="s">
        <v>74</v>
      </c>
      <c r="BR315" t="s">
        <v>101</v>
      </c>
      <c r="BS315" t="s">
        <v>2617</v>
      </c>
      <c r="BT315" t="str">
        <f>HYPERLINK("https%3A%2F%2Fwww.webofscience.com%2Fwos%2Fwoscc%2Ffull-record%2FWOS:000257683100320","View Full Record in Web of Science")</f>
        <v>View Full Record in Web of Science</v>
      </c>
    </row>
    <row r="316" spans="1:72" x14ac:dyDescent="0.15">
      <c r="A316" t="s">
        <v>72</v>
      </c>
      <c r="B316" t="s">
        <v>2618</v>
      </c>
      <c r="C316" t="s">
        <v>74</v>
      </c>
      <c r="D316" t="s">
        <v>74</v>
      </c>
      <c r="E316" t="s">
        <v>74</v>
      </c>
      <c r="F316" t="s">
        <v>2619</v>
      </c>
      <c r="G316" t="s">
        <v>74</v>
      </c>
      <c r="H316" t="s">
        <v>74</v>
      </c>
      <c r="I316" t="s">
        <v>2620</v>
      </c>
      <c r="J316" t="s">
        <v>77</v>
      </c>
      <c r="K316" t="s">
        <v>74</v>
      </c>
      <c r="L316" t="s">
        <v>74</v>
      </c>
      <c r="M316" t="s">
        <v>78</v>
      </c>
      <c r="N316" t="s">
        <v>52</v>
      </c>
      <c r="O316" t="s">
        <v>79</v>
      </c>
      <c r="P316" t="s">
        <v>80</v>
      </c>
      <c r="Q316" t="s">
        <v>81</v>
      </c>
      <c r="R316" t="s">
        <v>74</v>
      </c>
      <c r="S316" t="s">
        <v>82</v>
      </c>
      <c r="T316" t="s">
        <v>74</v>
      </c>
      <c r="U316" t="s">
        <v>2621</v>
      </c>
      <c r="V316" t="s">
        <v>74</v>
      </c>
      <c r="W316" t="s">
        <v>2622</v>
      </c>
      <c r="X316" t="s">
        <v>2623</v>
      </c>
      <c r="Y316" t="s">
        <v>74</v>
      </c>
      <c r="Z316" t="s">
        <v>2624</v>
      </c>
      <c r="AA316" t="s">
        <v>201</v>
      </c>
      <c r="AB316" t="s">
        <v>202</v>
      </c>
      <c r="AC316" t="s">
        <v>74</v>
      </c>
      <c r="AD316" t="s">
        <v>74</v>
      </c>
      <c r="AE316" t="s">
        <v>74</v>
      </c>
      <c r="AF316" t="s">
        <v>74</v>
      </c>
      <c r="AG316">
        <v>3</v>
      </c>
      <c r="AH316">
        <v>0</v>
      </c>
      <c r="AI316">
        <v>0</v>
      </c>
      <c r="AJ316">
        <v>0</v>
      </c>
      <c r="AK316">
        <v>1</v>
      </c>
      <c r="AL316" t="s">
        <v>109</v>
      </c>
      <c r="AM316" t="s">
        <v>110</v>
      </c>
      <c r="AN316" t="s">
        <v>111</v>
      </c>
      <c r="AO316" t="s">
        <v>91</v>
      </c>
      <c r="AP316" t="s">
        <v>74</v>
      </c>
      <c r="AQ316" t="s">
        <v>74</v>
      </c>
      <c r="AR316" t="s">
        <v>93</v>
      </c>
      <c r="AS316" t="s">
        <v>94</v>
      </c>
      <c r="AT316" t="s">
        <v>95</v>
      </c>
      <c r="AU316">
        <v>2008</v>
      </c>
      <c r="AV316">
        <v>43</v>
      </c>
      <c r="AW316">
        <v>7</v>
      </c>
      <c r="AX316" t="s">
        <v>74</v>
      </c>
      <c r="AY316" t="s">
        <v>96</v>
      </c>
      <c r="AZ316" t="s">
        <v>74</v>
      </c>
      <c r="BA316" t="s">
        <v>74</v>
      </c>
      <c r="BB316" t="s">
        <v>2555</v>
      </c>
      <c r="BC316" t="s">
        <v>2555</v>
      </c>
      <c r="BD316" t="s">
        <v>74</v>
      </c>
      <c r="BE316" t="s">
        <v>74</v>
      </c>
      <c r="BF316" t="s">
        <v>74</v>
      </c>
      <c r="BG316" t="s">
        <v>74</v>
      </c>
      <c r="BH316" t="s">
        <v>74</v>
      </c>
      <c r="BI316">
        <v>1</v>
      </c>
      <c r="BJ316" t="s">
        <v>98</v>
      </c>
      <c r="BK316" t="s">
        <v>113</v>
      </c>
      <c r="BL316" t="s">
        <v>98</v>
      </c>
      <c r="BM316" t="s">
        <v>100</v>
      </c>
      <c r="BN316" t="s">
        <v>74</v>
      </c>
      <c r="BO316" t="s">
        <v>74</v>
      </c>
      <c r="BP316" t="s">
        <v>74</v>
      </c>
      <c r="BQ316" t="s">
        <v>74</v>
      </c>
      <c r="BR316" t="s">
        <v>101</v>
      </c>
      <c r="BS316" t="s">
        <v>2625</v>
      </c>
      <c r="BT316" t="str">
        <f>HYPERLINK("https%3A%2F%2Fwww.webofscience.com%2Fwos%2Fwoscc%2Ffull-record%2FWOS:000257683100361","View Full Record in Web of Science")</f>
        <v>View Full Record in Web of Science</v>
      </c>
    </row>
    <row r="317" spans="1:72" x14ac:dyDescent="0.15">
      <c r="A317" t="s">
        <v>72</v>
      </c>
      <c r="B317" t="s">
        <v>2626</v>
      </c>
      <c r="C317" t="s">
        <v>74</v>
      </c>
      <c r="D317" t="s">
        <v>74</v>
      </c>
      <c r="E317" t="s">
        <v>74</v>
      </c>
      <c r="F317" t="s">
        <v>2627</v>
      </c>
      <c r="G317" t="s">
        <v>74</v>
      </c>
      <c r="H317" t="s">
        <v>74</v>
      </c>
      <c r="I317" t="s">
        <v>2628</v>
      </c>
      <c r="J317" t="s">
        <v>77</v>
      </c>
      <c r="K317" t="s">
        <v>74</v>
      </c>
      <c r="L317" t="s">
        <v>74</v>
      </c>
      <c r="M317" t="s">
        <v>78</v>
      </c>
      <c r="N317" t="s">
        <v>52</v>
      </c>
      <c r="O317" t="s">
        <v>79</v>
      </c>
      <c r="P317" t="s">
        <v>80</v>
      </c>
      <c r="Q317" t="s">
        <v>81</v>
      </c>
      <c r="R317" t="s">
        <v>74</v>
      </c>
      <c r="S317" t="s">
        <v>82</v>
      </c>
      <c r="T317" t="s">
        <v>74</v>
      </c>
      <c r="U317" t="s">
        <v>74</v>
      </c>
      <c r="V317" t="s">
        <v>74</v>
      </c>
      <c r="W317" t="s">
        <v>2629</v>
      </c>
      <c r="X317" t="s">
        <v>2630</v>
      </c>
      <c r="Y317" t="s">
        <v>74</v>
      </c>
      <c r="Z317" t="s">
        <v>2631</v>
      </c>
      <c r="AA317" t="s">
        <v>2632</v>
      </c>
      <c r="AB317" t="s">
        <v>2633</v>
      </c>
      <c r="AC317" t="s">
        <v>74</v>
      </c>
      <c r="AD317" t="s">
        <v>74</v>
      </c>
      <c r="AE317" t="s">
        <v>74</v>
      </c>
      <c r="AF317" t="s">
        <v>74</v>
      </c>
      <c r="AG317">
        <v>3</v>
      </c>
      <c r="AH317">
        <v>0</v>
      </c>
      <c r="AI317">
        <v>0</v>
      </c>
      <c r="AJ317">
        <v>0</v>
      </c>
      <c r="AK317">
        <v>3</v>
      </c>
      <c r="AL317" t="s">
        <v>149</v>
      </c>
      <c r="AM317" t="s">
        <v>150</v>
      </c>
      <c r="AN317" t="s">
        <v>151</v>
      </c>
      <c r="AO317" t="s">
        <v>91</v>
      </c>
      <c r="AP317" t="s">
        <v>74</v>
      </c>
      <c r="AQ317" t="s">
        <v>74</v>
      </c>
      <c r="AR317" t="s">
        <v>93</v>
      </c>
      <c r="AS317" t="s">
        <v>94</v>
      </c>
      <c r="AT317" t="s">
        <v>95</v>
      </c>
      <c r="AU317">
        <v>2008</v>
      </c>
      <c r="AV317">
        <v>43</v>
      </c>
      <c r="AW317">
        <v>7</v>
      </c>
      <c r="AX317" t="s">
        <v>74</v>
      </c>
      <c r="AY317" t="s">
        <v>96</v>
      </c>
      <c r="AZ317" t="s">
        <v>74</v>
      </c>
      <c r="BA317" t="s">
        <v>74</v>
      </c>
      <c r="BB317" t="s">
        <v>2634</v>
      </c>
      <c r="BC317" t="s">
        <v>2634</v>
      </c>
      <c r="BD317" t="s">
        <v>74</v>
      </c>
      <c r="BE317" t="s">
        <v>74</v>
      </c>
      <c r="BF317" t="s">
        <v>74</v>
      </c>
      <c r="BG317" t="s">
        <v>74</v>
      </c>
      <c r="BH317" t="s">
        <v>74</v>
      </c>
      <c r="BI317">
        <v>1</v>
      </c>
      <c r="BJ317" t="s">
        <v>98</v>
      </c>
      <c r="BK317" t="s">
        <v>99</v>
      </c>
      <c r="BL317" t="s">
        <v>98</v>
      </c>
      <c r="BM317" t="s">
        <v>100</v>
      </c>
      <c r="BN317" t="s">
        <v>74</v>
      </c>
      <c r="BO317" t="s">
        <v>74</v>
      </c>
      <c r="BP317" t="s">
        <v>74</v>
      </c>
      <c r="BQ317" t="s">
        <v>74</v>
      </c>
      <c r="BR317" t="s">
        <v>101</v>
      </c>
      <c r="BS317" t="s">
        <v>2635</v>
      </c>
      <c r="BT317" t="str">
        <f>HYPERLINK("https%3A%2F%2Fwww.webofscience.com%2Fwos%2Fwoscc%2Ffull-record%2FWOS:000257683100321","View Full Record in Web of Science")</f>
        <v>View Full Record in Web of Science</v>
      </c>
    </row>
    <row r="318" spans="1:72" x14ac:dyDescent="0.15">
      <c r="A318" t="s">
        <v>72</v>
      </c>
      <c r="B318" t="s">
        <v>2636</v>
      </c>
      <c r="C318" t="s">
        <v>74</v>
      </c>
      <c r="D318" t="s">
        <v>74</v>
      </c>
      <c r="E318" t="s">
        <v>74</v>
      </c>
      <c r="F318" t="s">
        <v>2637</v>
      </c>
      <c r="G318" t="s">
        <v>74</v>
      </c>
      <c r="H318" t="s">
        <v>74</v>
      </c>
      <c r="I318" t="s">
        <v>2638</v>
      </c>
      <c r="J318" t="s">
        <v>77</v>
      </c>
      <c r="K318" t="s">
        <v>74</v>
      </c>
      <c r="L318" t="s">
        <v>74</v>
      </c>
      <c r="M318" t="s">
        <v>78</v>
      </c>
      <c r="N318" t="s">
        <v>52</v>
      </c>
      <c r="O318" t="s">
        <v>79</v>
      </c>
      <c r="P318" t="s">
        <v>80</v>
      </c>
      <c r="Q318" t="s">
        <v>81</v>
      </c>
      <c r="R318" t="s">
        <v>74</v>
      </c>
      <c r="S318" t="s">
        <v>82</v>
      </c>
      <c r="T318" t="s">
        <v>74</v>
      </c>
      <c r="U318" t="s">
        <v>74</v>
      </c>
      <c r="V318" t="s">
        <v>74</v>
      </c>
      <c r="W318" t="s">
        <v>2639</v>
      </c>
      <c r="X318" t="s">
        <v>1131</v>
      </c>
      <c r="Y318" t="s">
        <v>74</v>
      </c>
      <c r="Z318" t="s">
        <v>2640</v>
      </c>
      <c r="AA318" t="s">
        <v>74</v>
      </c>
      <c r="AB318" t="s">
        <v>74</v>
      </c>
      <c r="AC318" t="s">
        <v>74</v>
      </c>
      <c r="AD318" t="s">
        <v>74</v>
      </c>
      <c r="AE318" t="s">
        <v>74</v>
      </c>
      <c r="AF318" t="s">
        <v>74</v>
      </c>
      <c r="AG318">
        <v>2</v>
      </c>
      <c r="AH318">
        <v>0</v>
      </c>
      <c r="AI318">
        <v>0</v>
      </c>
      <c r="AJ318">
        <v>0</v>
      </c>
      <c r="AK318">
        <v>0</v>
      </c>
      <c r="AL318" t="s">
        <v>88</v>
      </c>
      <c r="AM318" t="s">
        <v>89</v>
      </c>
      <c r="AN318" t="s">
        <v>90</v>
      </c>
      <c r="AO318" t="s">
        <v>91</v>
      </c>
      <c r="AP318" t="s">
        <v>92</v>
      </c>
      <c r="AQ318" t="s">
        <v>74</v>
      </c>
      <c r="AR318" t="s">
        <v>93</v>
      </c>
      <c r="AS318" t="s">
        <v>94</v>
      </c>
      <c r="AT318" t="s">
        <v>95</v>
      </c>
      <c r="AU318">
        <v>2008</v>
      </c>
      <c r="AV318">
        <v>43</v>
      </c>
      <c r="AW318">
        <v>7</v>
      </c>
      <c r="AX318" t="s">
        <v>74</v>
      </c>
      <c r="AY318" t="s">
        <v>96</v>
      </c>
      <c r="AZ318" t="s">
        <v>74</v>
      </c>
      <c r="BA318" t="s">
        <v>74</v>
      </c>
      <c r="BB318" t="s">
        <v>2634</v>
      </c>
      <c r="BC318" t="s">
        <v>2634</v>
      </c>
      <c r="BD318" t="s">
        <v>74</v>
      </c>
      <c r="BE318" t="s">
        <v>74</v>
      </c>
      <c r="BF318" t="s">
        <v>74</v>
      </c>
      <c r="BG318" t="s">
        <v>74</v>
      </c>
      <c r="BH318" t="s">
        <v>74</v>
      </c>
      <c r="BI318">
        <v>1</v>
      </c>
      <c r="BJ318" t="s">
        <v>98</v>
      </c>
      <c r="BK318" t="s">
        <v>99</v>
      </c>
      <c r="BL318" t="s">
        <v>98</v>
      </c>
      <c r="BM318" t="s">
        <v>100</v>
      </c>
      <c r="BN318" t="s">
        <v>74</v>
      </c>
      <c r="BO318" t="s">
        <v>74</v>
      </c>
      <c r="BP318" t="s">
        <v>74</v>
      </c>
      <c r="BQ318" t="s">
        <v>74</v>
      </c>
      <c r="BR318" t="s">
        <v>101</v>
      </c>
      <c r="BS318" t="s">
        <v>2641</v>
      </c>
      <c r="BT318" t="str">
        <f>HYPERLINK("https%3A%2F%2Fwww.webofscience.com%2Fwos%2Fwoscc%2Ffull-record%2FWOS:000257683100322","View Full Record in Web of Science")</f>
        <v>View Full Record in Web of Science</v>
      </c>
    </row>
    <row r="319" spans="1:72" x14ac:dyDescent="0.15">
      <c r="A319" t="s">
        <v>72</v>
      </c>
      <c r="B319" t="s">
        <v>2642</v>
      </c>
      <c r="C319" t="s">
        <v>74</v>
      </c>
      <c r="D319" t="s">
        <v>74</v>
      </c>
      <c r="E319" t="s">
        <v>74</v>
      </c>
      <c r="F319" t="s">
        <v>2643</v>
      </c>
      <c r="G319" t="s">
        <v>74</v>
      </c>
      <c r="H319" t="s">
        <v>74</v>
      </c>
      <c r="I319" t="s">
        <v>2644</v>
      </c>
      <c r="J319" t="s">
        <v>77</v>
      </c>
      <c r="K319" t="s">
        <v>74</v>
      </c>
      <c r="L319" t="s">
        <v>74</v>
      </c>
      <c r="M319" t="s">
        <v>78</v>
      </c>
      <c r="N319" t="s">
        <v>52</v>
      </c>
      <c r="O319" t="s">
        <v>79</v>
      </c>
      <c r="P319" t="s">
        <v>80</v>
      </c>
      <c r="Q319" t="s">
        <v>81</v>
      </c>
      <c r="R319" t="s">
        <v>74</v>
      </c>
      <c r="S319" t="s">
        <v>82</v>
      </c>
      <c r="T319" t="s">
        <v>74</v>
      </c>
      <c r="U319" t="s">
        <v>74</v>
      </c>
      <c r="V319" t="s">
        <v>74</v>
      </c>
      <c r="W319" t="s">
        <v>2645</v>
      </c>
      <c r="X319" t="s">
        <v>2646</v>
      </c>
      <c r="Y319" t="s">
        <v>74</v>
      </c>
      <c r="Z319" t="s">
        <v>2647</v>
      </c>
      <c r="AA319" t="s">
        <v>74</v>
      </c>
      <c r="AB319" t="s">
        <v>74</v>
      </c>
      <c r="AC319" t="s">
        <v>74</v>
      </c>
      <c r="AD319" t="s">
        <v>74</v>
      </c>
      <c r="AE319" t="s">
        <v>74</v>
      </c>
      <c r="AF319" t="s">
        <v>74</v>
      </c>
      <c r="AG319">
        <v>3</v>
      </c>
      <c r="AH319">
        <v>0</v>
      </c>
      <c r="AI319">
        <v>0</v>
      </c>
      <c r="AJ319">
        <v>0</v>
      </c>
      <c r="AK319">
        <v>0</v>
      </c>
      <c r="AL319" t="s">
        <v>88</v>
      </c>
      <c r="AM319" t="s">
        <v>89</v>
      </c>
      <c r="AN319" t="s">
        <v>90</v>
      </c>
      <c r="AO319" t="s">
        <v>91</v>
      </c>
      <c r="AP319" t="s">
        <v>92</v>
      </c>
      <c r="AQ319" t="s">
        <v>74</v>
      </c>
      <c r="AR319" t="s">
        <v>93</v>
      </c>
      <c r="AS319" t="s">
        <v>94</v>
      </c>
      <c r="AT319" t="s">
        <v>95</v>
      </c>
      <c r="AU319">
        <v>2008</v>
      </c>
      <c r="AV319">
        <v>43</v>
      </c>
      <c r="AW319">
        <v>7</v>
      </c>
      <c r="AX319" t="s">
        <v>74</v>
      </c>
      <c r="AY319" t="s">
        <v>96</v>
      </c>
      <c r="AZ319" t="s">
        <v>74</v>
      </c>
      <c r="BA319" t="s">
        <v>74</v>
      </c>
      <c r="BB319" t="s">
        <v>2648</v>
      </c>
      <c r="BC319" t="s">
        <v>2648</v>
      </c>
      <c r="BD319" t="s">
        <v>74</v>
      </c>
      <c r="BE319" t="s">
        <v>74</v>
      </c>
      <c r="BF319" t="s">
        <v>74</v>
      </c>
      <c r="BG319" t="s">
        <v>74</v>
      </c>
      <c r="BH319" t="s">
        <v>74</v>
      </c>
      <c r="BI319">
        <v>1</v>
      </c>
      <c r="BJ319" t="s">
        <v>98</v>
      </c>
      <c r="BK319" t="s">
        <v>99</v>
      </c>
      <c r="BL319" t="s">
        <v>98</v>
      </c>
      <c r="BM319" t="s">
        <v>100</v>
      </c>
      <c r="BN319" t="s">
        <v>74</v>
      </c>
      <c r="BO319" t="s">
        <v>74</v>
      </c>
      <c r="BP319" t="s">
        <v>74</v>
      </c>
      <c r="BQ319" t="s">
        <v>74</v>
      </c>
      <c r="BR319" t="s">
        <v>101</v>
      </c>
      <c r="BS319" t="s">
        <v>2649</v>
      </c>
      <c r="BT319" t="str">
        <f>HYPERLINK("https%3A%2F%2Fwww.webofscience.com%2Fwos%2Fwoscc%2Ffull-record%2FWOS:000257683100323","View Full Record in Web of Science")</f>
        <v>View Full Record in Web of Science</v>
      </c>
    </row>
    <row r="320" spans="1:72" x14ac:dyDescent="0.15">
      <c r="A320" t="s">
        <v>72</v>
      </c>
      <c r="B320" t="s">
        <v>2650</v>
      </c>
      <c r="C320" t="s">
        <v>74</v>
      </c>
      <c r="D320" t="s">
        <v>74</v>
      </c>
      <c r="E320" t="s">
        <v>74</v>
      </c>
      <c r="F320" t="s">
        <v>2651</v>
      </c>
      <c r="G320" t="s">
        <v>74</v>
      </c>
      <c r="H320" t="s">
        <v>74</v>
      </c>
      <c r="I320" t="s">
        <v>2652</v>
      </c>
      <c r="J320" t="s">
        <v>77</v>
      </c>
      <c r="K320" t="s">
        <v>74</v>
      </c>
      <c r="L320" t="s">
        <v>74</v>
      </c>
      <c r="M320" t="s">
        <v>78</v>
      </c>
      <c r="N320" t="s">
        <v>52</v>
      </c>
      <c r="O320" t="s">
        <v>79</v>
      </c>
      <c r="P320" t="s">
        <v>80</v>
      </c>
      <c r="Q320" t="s">
        <v>81</v>
      </c>
      <c r="R320" t="s">
        <v>74</v>
      </c>
      <c r="S320" t="s">
        <v>82</v>
      </c>
      <c r="T320" t="s">
        <v>74</v>
      </c>
      <c r="U320" t="s">
        <v>74</v>
      </c>
      <c r="V320" t="s">
        <v>74</v>
      </c>
      <c r="W320" t="s">
        <v>2653</v>
      </c>
      <c r="X320" t="s">
        <v>2654</v>
      </c>
      <c r="Y320" t="s">
        <v>74</v>
      </c>
      <c r="Z320" t="s">
        <v>2655</v>
      </c>
      <c r="AA320" t="s">
        <v>74</v>
      </c>
      <c r="AB320" t="s">
        <v>74</v>
      </c>
      <c r="AC320" t="s">
        <v>74</v>
      </c>
      <c r="AD320" t="s">
        <v>74</v>
      </c>
      <c r="AE320" t="s">
        <v>74</v>
      </c>
      <c r="AF320" t="s">
        <v>74</v>
      </c>
      <c r="AG320">
        <v>2</v>
      </c>
      <c r="AH320">
        <v>0</v>
      </c>
      <c r="AI320">
        <v>0</v>
      </c>
      <c r="AJ320">
        <v>0</v>
      </c>
      <c r="AK320">
        <v>0</v>
      </c>
      <c r="AL320" t="s">
        <v>88</v>
      </c>
      <c r="AM320" t="s">
        <v>89</v>
      </c>
      <c r="AN320" t="s">
        <v>90</v>
      </c>
      <c r="AO320" t="s">
        <v>91</v>
      </c>
      <c r="AP320" t="s">
        <v>92</v>
      </c>
      <c r="AQ320" t="s">
        <v>74</v>
      </c>
      <c r="AR320" t="s">
        <v>93</v>
      </c>
      <c r="AS320" t="s">
        <v>94</v>
      </c>
      <c r="AT320" t="s">
        <v>95</v>
      </c>
      <c r="AU320">
        <v>2008</v>
      </c>
      <c r="AV320">
        <v>43</v>
      </c>
      <c r="AW320">
        <v>7</v>
      </c>
      <c r="AX320" t="s">
        <v>74</v>
      </c>
      <c r="AY320" t="s">
        <v>96</v>
      </c>
      <c r="AZ320" t="s">
        <v>74</v>
      </c>
      <c r="BA320" t="s">
        <v>74</v>
      </c>
      <c r="BB320" t="s">
        <v>2648</v>
      </c>
      <c r="BC320" t="s">
        <v>2648</v>
      </c>
      <c r="BD320" t="s">
        <v>74</v>
      </c>
      <c r="BE320" t="s">
        <v>74</v>
      </c>
      <c r="BF320" t="s">
        <v>74</v>
      </c>
      <c r="BG320" t="s">
        <v>74</v>
      </c>
      <c r="BH320" t="s">
        <v>74</v>
      </c>
      <c r="BI320">
        <v>1</v>
      </c>
      <c r="BJ320" t="s">
        <v>98</v>
      </c>
      <c r="BK320" t="s">
        <v>99</v>
      </c>
      <c r="BL320" t="s">
        <v>98</v>
      </c>
      <c r="BM320" t="s">
        <v>100</v>
      </c>
      <c r="BN320" t="s">
        <v>74</v>
      </c>
      <c r="BO320" t="s">
        <v>74</v>
      </c>
      <c r="BP320" t="s">
        <v>74</v>
      </c>
      <c r="BQ320" t="s">
        <v>74</v>
      </c>
      <c r="BR320" t="s">
        <v>101</v>
      </c>
      <c r="BS320" t="s">
        <v>2656</v>
      </c>
      <c r="BT320" t="str">
        <f>HYPERLINK("https%3A%2F%2Fwww.webofscience.com%2Fwos%2Fwoscc%2Ffull-record%2FWOS:000257683100324","View Full Record in Web of Science")</f>
        <v>View Full Record in Web of Science</v>
      </c>
    </row>
    <row r="321" spans="1:72" x14ac:dyDescent="0.15">
      <c r="A321" t="s">
        <v>72</v>
      </c>
      <c r="B321" t="s">
        <v>2657</v>
      </c>
      <c r="C321" t="s">
        <v>74</v>
      </c>
      <c r="D321" t="s">
        <v>74</v>
      </c>
      <c r="E321" t="s">
        <v>74</v>
      </c>
      <c r="F321" t="s">
        <v>2658</v>
      </c>
      <c r="G321" t="s">
        <v>74</v>
      </c>
      <c r="H321" t="s">
        <v>74</v>
      </c>
      <c r="I321" t="s">
        <v>2659</v>
      </c>
      <c r="J321" t="s">
        <v>77</v>
      </c>
      <c r="K321" t="s">
        <v>74</v>
      </c>
      <c r="L321" t="s">
        <v>74</v>
      </c>
      <c r="M321" t="s">
        <v>78</v>
      </c>
      <c r="N321" t="s">
        <v>52</v>
      </c>
      <c r="O321" t="s">
        <v>79</v>
      </c>
      <c r="P321" t="s">
        <v>80</v>
      </c>
      <c r="Q321" t="s">
        <v>81</v>
      </c>
      <c r="R321" t="s">
        <v>74</v>
      </c>
      <c r="S321" t="s">
        <v>82</v>
      </c>
      <c r="T321" t="s">
        <v>74</v>
      </c>
      <c r="U321" t="s">
        <v>2660</v>
      </c>
      <c r="V321" t="s">
        <v>74</v>
      </c>
      <c r="W321" t="s">
        <v>2661</v>
      </c>
      <c r="X321" t="s">
        <v>2662</v>
      </c>
      <c r="Y321" t="s">
        <v>74</v>
      </c>
      <c r="Z321" t="s">
        <v>2663</v>
      </c>
      <c r="AA321" t="s">
        <v>74</v>
      </c>
      <c r="AB321" t="s">
        <v>74</v>
      </c>
      <c r="AC321" t="s">
        <v>74</v>
      </c>
      <c r="AD321" t="s">
        <v>74</v>
      </c>
      <c r="AE321" t="s">
        <v>74</v>
      </c>
      <c r="AF321" t="s">
        <v>74</v>
      </c>
      <c r="AG321">
        <v>5</v>
      </c>
      <c r="AH321">
        <v>7</v>
      </c>
      <c r="AI321">
        <v>8</v>
      </c>
      <c r="AJ321">
        <v>1</v>
      </c>
      <c r="AK321">
        <v>1</v>
      </c>
      <c r="AL321" t="s">
        <v>109</v>
      </c>
      <c r="AM321" t="s">
        <v>110</v>
      </c>
      <c r="AN321" t="s">
        <v>111</v>
      </c>
      <c r="AO321" t="s">
        <v>91</v>
      </c>
      <c r="AP321" t="s">
        <v>74</v>
      </c>
      <c r="AQ321" t="s">
        <v>74</v>
      </c>
      <c r="AR321" t="s">
        <v>93</v>
      </c>
      <c r="AS321" t="s">
        <v>94</v>
      </c>
      <c r="AT321" t="s">
        <v>95</v>
      </c>
      <c r="AU321">
        <v>2008</v>
      </c>
      <c r="AV321">
        <v>43</v>
      </c>
      <c r="AW321">
        <v>7</v>
      </c>
      <c r="AX321" t="s">
        <v>74</v>
      </c>
      <c r="AY321" t="s">
        <v>96</v>
      </c>
      <c r="AZ321" t="s">
        <v>74</v>
      </c>
      <c r="BA321" t="s">
        <v>74</v>
      </c>
      <c r="BB321" t="s">
        <v>2664</v>
      </c>
      <c r="BC321" t="s">
        <v>2664</v>
      </c>
      <c r="BD321" t="s">
        <v>74</v>
      </c>
      <c r="BE321" t="s">
        <v>74</v>
      </c>
      <c r="BF321" t="s">
        <v>74</v>
      </c>
      <c r="BG321" t="s">
        <v>74</v>
      </c>
      <c r="BH321" t="s">
        <v>74</v>
      </c>
      <c r="BI321">
        <v>1</v>
      </c>
      <c r="BJ321" t="s">
        <v>98</v>
      </c>
      <c r="BK321" t="s">
        <v>113</v>
      </c>
      <c r="BL321" t="s">
        <v>98</v>
      </c>
      <c r="BM321" t="s">
        <v>100</v>
      </c>
      <c r="BN321" t="s">
        <v>74</v>
      </c>
      <c r="BO321" t="s">
        <v>74</v>
      </c>
      <c r="BP321" t="s">
        <v>74</v>
      </c>
      <c r="BQ321" t="s">
        <v>74</v>
      </c>
      <c r="BR321" t="s">
        <v>101</v>
      </c>
      <c r="BS321" t="s">
        <v>2665</v>
      </c>
      <c r="BT321" t="str">
        <f>HYPERLINK("https%3A%2F%2Fwww.webofscience.com%2Fwos%2Fwoscc%2Ffull-record%2FWOS:000257683100325","View Full Record in Web of Science")</f>
        <v>View Full Record in Web of Science</v>
      </c>
    </row>
    <row r="322" spans="1:72" x14ac:dyDescent="0.15">
      <c r="A322" t="s">
        <v>72</v>
      </c>
      <c r="B322" t="s">
        <v>2666</v>
      </c>
      <c r="C322" t="s">
        <v>74</v>
      </c>
      <c r="D322" t="s">
        <v>74</v>
      </c>
      <c r="E322" t="s">
        <v>74</v>
      </c>
      <c r="F322" t="s">
        <v>2667</v>
      </c>
      <c r="G322" t="s">
        <v>74</v>
      </c>
      <c r="H322" t="s">
        <v>74</v>
      </c>
      <c r="I322" t="s">
        <v>2668</v>
      </c>
      <c r="J322" t="s">
        <v>77</v>
      </c>
      <c r="K322" t="s">
        <v>74</v>
      </c>
      <c r="L322" t="s">
        <v>74</v>
      </c>
      <c r="M322" t="s">
        <v>78</v>
      </c>
      <c r="N322" t="s">
        <v>52</v>
      </c>
      <c r="O322" t="s">
        <v>79</v>
      </c>
      <c r="P322" t="s">
        <v>80</v>
      </c>
      <c r="Q322" t="s">
        <v>81</v>
      </c>
      <c r="R322" t="s">
        <v>74</v>
      </c>
      <c r="S322" t="s">
        <v>82</v>
      </c>
      <c r="T322" t="s">
        <v>74</v>
      </c>
      <c r="U322" t="s">
        <v>74</v>
      </c>
      <c r="V322" t="s">
        <v>74</v>
      </c>
      <c r="W322" t="s">
        <v>2669</v>
      </c>
      <c r="X322" t="s">
        <v>2670</v>
      </c>
      <c r="Y322" t="s">
        <v>74</v>
      </c>
      <c r="Z322" t="s">
        <v>2671</v>
      </c>
      <c r="AA322" t="s">
        <v>74</v>
      </c>
      <c r="AB322" t="s">
        <v>74</v>
      </c>
      <c r="AC322" t="s">
        <v>74</v>
      </c>
      <c r="AD322" t="s">
        <v>74</v>
      </c>
      <c r="AE322" t="s">
        <v>74</v>
      </c>
      <c r="AF322" t="s">
        <v>74</v>
      </c>
      <c r="AG322">
        <v>3</v>
      </c>
      <c r="AH322">
        <v>0</v>
      </c>
      <c r="AI322">
        <v>0</v>
      </c>
      <c r="AJ322">
        <v>0</v>
      </c>
      <c r="AK322">
        <v>1</v>
      </c>
      <c r="AL322" t="s">
        <v>109</v>
      </c>
      <c r="AM322" t="s">
        <v>110</v>
      </c>
      <c r="AN322" t="s">
        <v>111</v>
      </c>
      <c r="AO322" t="s">
        <v>91</v>
      </c>
      <c r="AP322" t="s">
        <v>74</v>
      </c>
      <c r="AQ322" t="s">
        <v>74</v>
      </c>
      <c r="AR322" t="s">
        <v>93</v>
      </c>
      <c r="AS322" t="s">
        <v>94</v>
      </c>
      <c r="AT322" t="s">
        <v>95</v>
      </c>
      <c r="AU322">
        <v>2008</v>
      </c>
      <c r="AV322">
        <v>43</v>
      </c>
      <c r="AW322">
        <v>7</v>
      </c>
      <c r="AX322" t="s">
        <v>74</v>
      </c>
      <c r="AY322" t="s">
        <v>96</v>
      </c>
      <c r="AZ322" t="s">
        <v>74</v>
      </c>
      <c r="BA322" t="s">
        <v>74</v>
      </c>
      <c r="BB322" t="s">
        <v>2664</v>
      </c>
      <c r="BC322" t="s">
        <v>2664</v>
      </c>
      <c r="BD322" t="s">
        <v>74</v>
      </c>
      <c r="BE322" t="s">
        <v>74</v>
      </c>
      <c r="BF322" t="s">
        <v>74</v>
      </c>
      <c r="BG322" t="s">
        <v>74</v>
      </c>
      <c r="BH322" t="s">
        <v>74</v>
      </c>
      <c r="BI322">
        <v>1</v>
      </c>
      <c r="BJ322" t="s">
        <v>98</v>
      </c>
      <c r="BK322" t="s">
        <v>113</v>
      </c>
      <c r="BL322" t="s">
        <v>98</v>
      </c>
      <c r="BM322" t="s">
        <v>100</v>
      </c>
      <c r="BN322" t="s">
        <v>74</v>
      </c>
      <c r="BO322" t="s">
        <v>74</v>
      </c>
      <c r="BP322" t="s">
        <v>74</v>
      </c>
      <c r="BQ322" t="s">
        <v>74</v>
      </c>
      <c r="BR322" t="s">
        <v>101</v>
      </c>
      <c r="BS322" t="s">
        <v>2672</v>
      </c>
      <c r="BT322" t="str">
        <f>HYPERLINK("https%3A%2F%2Fwww.webofscience.com%2Fwos%2Fwoscc%2Ffull-record%2FWOS:000257683100326","View Full Record in Web of Science")</f>
        <v>View Full Record in Web of Science</v>
      </c>
    </row>
    <row r="323" spans="1:72" x14ac:dyDescent="0.15">
      <c r="A323" t="s">
        <v>72</v>
      </c>
      <c r="B323" t="s">
        <v>2673</v>
      </c>
      <c r="C323" t="s">
        <v>74</v>
      </c>
      <c r="D323" t="s">
        <v>74</v>
      </c>
      <c r="E323" t="s">
        <v>74</v>
      </c>
      <c r="F323" t="s">
        <v>2674</v>
      </c>
      <c r="G323" t="s">
        <v>74</v>
      </c>
      <c r="H323" t="s">
        <v>74</v>
      </c>
      <c r="I323" t="s">
        <v>2675</v>
      </c>
      <c r="J323" t="s">
        <v>77</v>
      </c>
      <c r="K323" t="s">
        <v>74</v>
      </c>
      <c r="L323" t="s">
        <v>74</v>
      </c>
      <c r="M323" t="s">
        <v>78</v>
      </c>
      <c r="N323" t="s">
        <v>52</v>
      </c>
      <c r="O323" t="s">
        <v>79</v>
      </c>
      <c r="P323" t="s">
        <v>80</v>
      </c>
      <c r="Q323" t="s">
        <v>81</v>
      </c>
      <c r="R323" t="s">
        <v>74</v>
      </c>
      <c r="S323" t="s">
        <v>82</v>
      </c>
      <c r="T323" t="s">
        <v>74</v>
      </c>
      <c r="U323" t="s">
        <v>2676</v>
      </c>
      <c r="V323" t="s">
        <v>74</v>
      </c>
      <c r="W323" t="s">
        <v>2677</v>
      </c>
      <c r="X323" t="s">
        <v>2678</v>
      </c>
      <c r="Y323" t="s">
        <v>74</v>
      </c>
      <c r="Z323" t="s">
        <v>2679</v>
      </c>
      <c r="AA323" t="s">
        <v>74</v>
      </c>
      <c r="AB323" t="s">
        <v>74</v>
      </c>
      <c r="AC323" t="s">
        <v>74</v>
      </c>
      <c r="AD323" t="s">
        <v>74</v>
      </c>
      <c r="AE323" t="s">
        <v>74</v>
      </c>
      <c r="AF323" t="s">
        <v>74</v>
      </c>
      <c r="AG323">
        <v>4</v>
      </c>
      <c r="AH323">
        <v>1</v>
      </c>
      <c r="AI323">
        <v>1</v>
      </c>
      <c r="AJ323">
        <v>0</v>
      </c>
      <c r="AK323">
        <v>0</v>
      </c>
      <c r="AL323" t="s">
        <v>149</v>
      </c>
      <c r="AM323" t="s">
        <v>89</v>
      </c>
      <c r="AN323" t="s">
        <v>90</v>
      </c>
      <c r="AO323" t="s">
        <v>91</v>
      </c>
      <c r="AP323" t="s">
        <v>92</v>
      </c>
      <c r="AQ323" t="s">
        <v>74</v>
      </c>
      <c r="AR323" t="s">
        <v>93</v>
      </c>
      <c r="AS323" t="s">
        <v>94</v>
      </c>
      <c r="AT323" t="s">
        <v>95</v>
      </c>
      <c r="AU323">
        <v>2008</v>
      </c>
      <c r="AV323">
        <v>43</v>
      </c>
      <c r="AW323">
        <v>7</v>
      </c>
      <c r="AX323" t="s">
        <v>74</v>
      </c>
      <c r="AY323" t="s">
        <v>96</v>
      </c>
      <c r="AZ323" t="s">
        <v>74</v>
      </c>
      <c r="BA323" t="s">
        <v>74</v>
      </c>
      <c r="BB323" t="s">
        <v>2680</v>
      </c>
      <c r="BC323" t="s">
        <v>2680</v>
      </c>
      <c r="BD323" t="s">
        <v>74</v>
      </c>
      <c r="BE323" t="s">
        <v>74</v>
      </c>
      <c r="BF323" t="s">
        <v>74</v>
      </c>
      <c r="BG323" t="s">
        <v>74</v>
      </c>
      <c r="BH323" t="s">
        <v>74</v>
      </c>
      <c r="BI323">
        <v>1</v>
      </c>
      <c r="BJ323" t="s">
        <v>98</v>
      </c>
      <c r="BK323" t="s">
        <v>99</v>
      </c>
      <c r="BL323" t="s">
        <v>98</v>
      </c>
      <c r="BM323" t="s">
        <v>100</v>
      </c>
      <c r="BN323" t="s">
        <v>74</v>
      </c>
      <c r="BO323" t="s">
        <v>74</v>
      </c>
      <c r="BP323" t="s">
        <v>74</v>
      </c>
      <c r="BQ323" t="s">
        <v>74</v>
      </c>
      <c r="BR323" t="s">
        <v>101</v>
      </c>
      <c r="BS323" t="s">
        <v>2681</v>
      </c>
      <c r="BT323" t="str">
        <f>HYPERLINK("https%3A%2F%2Fwww.webofscience.com%2Fwos%2Fwoscc%2Ffull-record%2FWOS:000257683100327","View Full Record in Web of Science")</f>
        <v>View Full Record in Web of Science</v>
      </c>
    </row>
    <row r="324" spans="1:72" x14ac:dyDescent="0.15">
      <c r="A324" t="s">
        <v>72</v>
      </c>
      <c r="B324" t="s">
        <v>2682</v>
      </c>
      <c r="C324" t="s">
        <v>74</v>
      </c>
      <c r="D324" t="s">
        <v>74</v>
      </c>
      <c r="E324" t="s">
        <v>74</v>
      </c>
      <c r="F324" t="s">
        <v>2683</v>
      </c>
      <c r="G324" t="s">
        <v>74</v>
      </c>
      <c r="H324" t="s">
        <v>74</v>
      </c>
      <c r="I324" t="s">
        <v>2684</v>
      </c>
      <c r="J324" t="s">
        <v>77</v>
      </c>
      <c r="K324" t="s">
        <v>74</v>
      </c>
      <c r="L324" t="s">
        <v>74</v>
      </c>
      <c r="M324" t="s">
        <v>78</v>
      </c>
      <c r="N324" t="s">
        <v>52</v>
      </c>
      <c r="O324" t="s">
        <v>79</v>
      </c>
      <c r="P324" t="s">
        <v>80</v>
      </c>
      <c r="Q324" t="s">
        <v>81</v>
      </c>
      <c r="R324" t="s">
        <v>74</v>
      </c>
      <c r="S324" t="s">
        <v>82</v>
      </c>
      <c r="T324" t="s">
        <v>74</v>
      </c>
      <c r="U324" t="s">
        <v>2685</v>
      </c>
      <c r="V324" t="s">
        <v>74</v>
      </c>
      <c r="W324" t="s">
        <v>2686</v>
      </c>
      <c r="X324" t="s">
        <v>2687</v>
      </c>
      <c r="Y324" t="s">
        <v>74</v>
      </c>
      <c r="Z324" t="s">
        <v>2688</v>
      </c>
      <c r="AA324" t="s">
        <v>74</v>
      </c>
      <c r="AB324" t="s">
        <v>74</v>
      </c>
      <c r="AC324" t="s">
        <v>74</v>
      </c>
      <c r="AD324" t="s">
        <v>74</v>
      </c>
      <c r="AE324" t="s">
        <v>74</v>
      </c>
      <c r="AF324" t="s">
        <v>74</v>
      </c>
      <c r="AG324">
        <v>5</v>
      </c>
      <c r="AH324">
        <v>0</v>
      </c>
      <c r="AI324">
        <v>0</v>
      </c>
      <c r="AJ324">
        <v>0</v>
      </c>
      <c r="AK324">
        <v>0</v>
      </c>
      <c r="AL324" t="s">
        <v>109</v>
      </c>
      <c r="AM324" t="s">
        <v>110</v>
      </c>
      <c r="AN324" t="s">
        <v>111</v>
      </c>
      <c r="AO324" t="s">
        <v>91</v>
      </c>
      <c r="AP324" t="s">
        <v>74</v>
      </c>
      <c r="AQ324" t="s">
        <v>74</v>
      </c>
      <c r="AR324" t="s">
        <v>93</v>
      </c>
      <c r="AS324" t="s">
        <v>94</v>
      </c>
      <c r="AT324" t="s">
        <v>95</v>
      </c>
      <c r="AU324">
        <v>2008</v>
      </c>
      <c r="AV324">
        <v>43</v>
      </c>
      <c r="AW324">
        <v>7</v>
      </c>
      <c r="AX324" t="s">
        <v>74</v>
      </c>
      <c r="AY324" t="s">
        <v>96</v>
      </c>
      <c r="AZ324" t="s">
        <v>74</v>
      </c>
      <c r="BA324" t="s">
        <v>74</v>
      </c>
      <c r="BB324" t="s">
        <v>2680</v>
      </c>
      <c r="BC324" t="s">
        <v>2680</v>
      </c>
      <c r="BD324" t="s">
        <v>74</v>
      </c>
      <c r="BE324" t="s">
        <v>74</v>
      </c>
      <c r="BF324" t="s">
        <v>74</v>
      </c>
      <c r="BG324" t="s">
        <v>74</v>
      </c>
      <c r="BH324" t="s">
        <v>74</v>
      </c>
      <c r="BI324">
        <v>1</v>
      </c>
      <c r="BJ324" t="s">
        <v>98</v>
      </c>
      <c r="BK324" t="s">
        <v>113</v>
      </c>
      <c r="BL324" t="s">
        <v>98</v>
      </c>
      <c r="BM324" t="s">
        <v>100</v>
      </c>
      <c r="BN324" t="s">
        <v>74</v>
      </c>
      <c r="BO324" t="s">
        <v>74</v>
      </c>
      <c r="BP324" t="s">
        <v>74</v>
      </c>
      <c r="BQ324" t="s">
        <v>74</v>
      </c>
      <c r="BR324" t="s">
        <v>101</v>
      </c>
      <c r="BS324" t="s">
        <v>2689</v>
      </c>
      <c r="BT324" t="str">
        <f>HYPERLINK("https%3A%2F%2Fwww.webofscience.com%2Fwos%2Fwoscc%2Ffull-record%2FWOS:000257683100328","View Full Record in Web of Science")</f>
        <v>View Full Record in Web of Science</v>
      </c>
    </row>
    <row r="325" spans="1:72" x14ac:dyDescent="0.15">
      <c r="A325" t="s">
        <v>72</v>
      </c>
      <c r="B325" t="s">
        <v>2690</v>
      </c>
      <c r="C325" t="s">
        <v>74</v>
      </c>
      <c r="D325" t="s">
        <v>74</v>
      </c>
      <c r="E325" t="s">
        <v>74</v>
      </c>
      <c r="F325" t="s">
        <v>2691</v>
      </c>
      <c r="G325" t="s">
        <v>74</v>
      </c>
      <c r="H325" t="s">
        <v>74</v>
      </c>
      <c r="I325" t="s">
        <v>2692</v>
      </c>
      <c r="J325" t="s">
        <v>77</v>
      </c>
      <c r="K325" t="s">
        <v>74</v>
      </c>
      <c r="L325" t="s">
        <v>74</v>
      </c>
      <c r="M325" t="s">
        <v>78</v>
      </c>
      <c r="N325" t="s">
        <v>52</v>
      </c>
      <c r="O325" t="s">
        <v>79</v>
      </c>
      <c r="P325" t="s">
        <v>80</v>
      </c>
      <c r="Q325" t="s">
        <v>81</v>
      </c>
      <c r="R325" t="s">
        <v>74</v>
      </c>
      <c r="S325" t="s">
        <v>82</v>
      </c>
      <c r="T325" t="s">
        <v>74</v>
      </c>
      <c r="U325" t="s">
        <v>74</v>
      </c>
      <c r="V325" t="s">
        <v>74</v>
      </c>
      <c r="W325" t="s">
        <v>2693</v>
      </c>
      <c r="X325" t="s">
        <v>2694</v>
      </c>
      <c r="Y325" t="s">
        <v>74</v>
      </c>
      <c r="Z325" t="s">
        <v>2695</v>
      </c>
      <c r="AA325" t="s">
        <v>74</v>
      </c>
      <c r="AB325" t="s">
        <v>74</v>
      </c>
      <c r="AC325" t="s">
        <v>74</v>
      </c>
      <c r="AD325" t="s">
        <v>74</v>
      </c>
      <c r="AE325" t="s">
        <v>74</v>
      </c>
      <c r="AF325" t="s">
        <v>74</v>
      </c>
      <c r="AG325">
        <v>3</v>
      </c>
      <c r="AH325">
        <v>1</v>
      </c>
      <c r="AI325">
        <v>1</v>
      </c>
      <c r="AJ325">
        <v>0</v>
      </c>
      <c r="AK325">
        <v>0</v>
      </c>
      <c r="AL325" t="s">
        <v>149</v>
      </c>
      <c r="AM325" t="s">
        <v>150</v>
      </c>
      <c r="AN325" t="s">
        <v>151</v>
      </c>
      <c r="AO325" t="s">
        <v>91</v>
      </c>
      <c r="AP325" t="s">
        <v>74</v>
      </c>
      <c r="AQ325" t="s">
        <v>74</v>
      </c>
      <c r="AR325" t="s">
        <v>93</v>
      </c>
      <c r="AS325" t="s">
        <v>94</v>
      </c>
      <c r="AT325" t="s">
        <v>95</v>
      </c>
      <c r="AU325">
        <v>2008</v>
      </c>
      <c r="AV325">
        <v>43</v>
      </c>
      <c r="AW325">
        <v>7</v>
      </c>
      <c r="AX325" t="s">
        <v>74</v>
      </c>
      <c r="AY325" t="s">
        <v>96</v>
      </c>
      <c r="AZ325" t="s">
        <v>74</v>
      </c>
      <c r="BA325" t="s">
        <v>74</v>
      </c>
      <c r="BB325" t="s">
        <v>2696</v>
      </c>
      <c r="BC325" t="s">
        <v>2696</v>
      </c>
      <c r="BD325" t="s">
        <v>74</v>
      </c>
      <c r="BE325" t="s">
        <v>74</v>
      </c>
      <c r="BF325" t="s">
        <v>74</v>
      </c>
      <c r="BG325" t="s">
        <v>74</v>
      </c>
      <c r="BH325" t="s">
        <v>74</v>
      </c>
      <c r="BI325">
        <v>1</v>
      </c>
      <c r="BJ325" t="s">
        <v>98</v>
      </c>
      <c r="BK325" t="s">
        <v>99</v>
      </c>
      <c r="BL325" t="s">
        <v>98</v>
      </c>
      <c r="BM325" t="s">
        <v>100</v>
      </c>
      <c r="BN325" t="s">
        <v>74</v>
      </c>
      <c r="BO325" t="s">
        <v>74</v>
      </c>
      <c r="BP325" t="s">
        <v>74</v>
      </c>
      <c r="BQ325" t="s">
        <v>74</v>
      </c>
      <c r="BR325" t="s">
        <v>101</v>
      </c>
      <c r="BS325" t="s">
        <v>2697</v>
      </c>
      <c r="BT325" t="str">
        <f>HYPERLINK("https%3A%2F%2Fwww.webofscience.com%2Fwos%2Fwoscc%2Ffull-record%2FWOS:000257683100329","View Full Record in Web of Science")</f>
        <v>View Full Record in Web of Science</v>
      </c>
    </row>
    <row r="326" spans="1:72" x14ac:dyDescent="0.15">
      <c r="A326" t="s">
        <v>72</v>
      </c>
      <c r="B326" t="s">
        <v>2698</v>
      </c>
      <c r="C326" t="s">
        <v>74</v>
      </c>
      <c r="D326" t="s">
        <v>74</v>
      </c>
      <c r="E326" t="s">
        <v>74</v>
      </c>
      <c r="F326" t="s">
        <v>2699</v>
      </c>
      <c r="G326" t="s">
        <v>74</v>
      </c>
      <c r="H326" t="s">
        <v>74</v>
      </c>
      <c r="I326" t="s">
        <v>2700</v>
      </c>
      <c r="J326" t="s">
        <v>77</v>
      </c>
      <c r="K326" t="s">
        <v>74</v>
      </c>
      <c r="L326" t="s">
        <v>74</v>
      </c>
      <c r="M326" t="s">
        <v>78</v>
      </c>
      <c r="N326" t="s">
        <v>52</v>
      </c>
      <c r="O326" t="s">
        <v>79</v>
      </c>
      <c r="P326" t="s">
        <v>80</v>
      </c>
      <c r="Q326" t="s">
        <v>81</v>
      </c>
      <c r="R326" t="s">
        <v>74</v>
      </c>
      <c r="S326" t="s">
        <v>82</v>
      </c>
      <c r="T326" t="s">
        <v>74</v>
      </c>
      <c r="U326" t="s">
        <v>2701</v>
      </c>
      <c r="V326" t="s">
        <v>74</v>
      </c>
      <c r="W326" t="s">
        <v>2702</v>
      </c>
      <c r="X326" t="s">
        <v>2703</v>
      </c>
      <c r="Y326" t="s">
        <v>74</v>
      </c>
      <c r="Z326" t="s">
        <v>1085</v>
      </c>
      <c r="AA326" t="s">
        <v>74</v>
      </c>
      <c r="AB326" t="s">
        <v>74</v>
      </c>
      <c r="AC326" t="s">
        <v>74</v>
      </c>
      <c r="AD326" t="s">
        <v>74</v>
      </c>
      <c r="AE326" t="s">
        <v>74</v>
      </c>
      <c r="AF326" t="s">
        <v>74</v>
      </c>
      <c r="AG326">
        <v>4</v>
      </c>
      <c r="AH326">
        <v>0</v>
      </c>
      <c r="AI326">
        <v>0</v>
      </c>
      <c r="AJ326">
        <v>0</v>
      </c>
      <c r="AK326">
        <v>1</v>
      </c>
      <c r="AL326" t="s">
        <v>109</v>
      </c>
      <c r="AM326" t="s">
        <v>110</v>
      </c>
      <c r="AN326" t="s">
        <v>111</v>
      </c>
      <c r="AO326" t="s">
        <v>91</v>
      </c>
      <c r="AP326" t="s">
        <v>74</v>
      </c>
      <c r="AQ326" t="s">
        <v>74</v>
      </c>
      <c r="AR326" t="s">
        <v>93</v>
      </c>
      <c r="AS326" t="s">
        <v>94</v>
      </c>
      <c r="AT326" t="s">
        <v>95</v>
      </c>
      <c r="AU326">
        <v>2008</v>
      </c>
      <c r="AV326">
        <v>43</v>
      </c>
      <c r="AW326">
        <v>7</v>
      </c>
      <c r="AX326" t="s">
        <v>74</v>
      </c>
      <c r="AY326" t="s">
        <v>96</v>
      </c>
      <c r="AZ326" t="s">
        <v>74</v>
      </c>
      <c r="BA326" t="s">
        <v>74</v>
      </c>
      <c r="BB326" t="s">
        <v>2696</v>
      </c>
      <c r="BC326" t="s">
        <v>2696</v>
      </c>
      <c r="BD326" t="s">
        <v>74</v>
      </c>
      <c r="BE326" t="s">
        <v>74</v>
      </c>
      <c r="BF326" t="s">
        <v>74</v>
      </c>
      <c r="BG326" t="s">
        <v>74</v>
      </c>
      <c r="BH326" t="s">
        <v>74</v>
      </c>
      <c r="BI326">
        <v>1</v>
      </c>
      <c r="BJ326" t="s">
        <v>98</v>
      </c>
      <c r="BK326" t="s">
        <v>113</v>
      </c>
      <c r="BL326" t="s">
        <v>98</v>
      </c>
      <c r="BM326" t="s">
        <v>100</v>
      </c>
      <c r="BN326" t="s">
        <v>74</v>
      </c>
      <c r="BO326" t="s">
        <v>74</v>
      </c>
      <c r="BP326" t="s">
        <v>74</v>
      </c>
      <c r="BQ326" t="s">
        <v>74</v>
      </c>
      <c r="BR326" t="s">
        <v>101</v>
      </c>
      <c r="BS326" t="s">
        <v>2704</v>
      </c>
      <c r="BT326" t="str">
        <f>HYPERLINK("https%3A%2F%2Fwww.webofscience.com%2Fwos%2Fwoscc%2Ffull-record%2FWOS:000257683100330","View Full Record in Web of Science")</f>
        <v>View Full Record in Web of Science</v>
      </c>
    </row>
    <row r="327" spans="1:72" x14ac:dyDescent="0.15">
      <c r="A327" t="s">
        <v>72</v>
      </c>
      <c r="B327" t="s">
        <v>2705</v>
      </c>
      <c r="C327" t="s">
        <v>74</v>
      </c>
      <c r="D327" t="s">
        <v>74</v>
      </c>
      <c r="E327" t="s">
        <v>74</v>
      </c>
      <c r="F327" t="s">
        <v>2706</v>
      </c>
      <c r="G327" t="s">
        <v>74</v>
      </c>
      <c r="H327" t="s">
        <v>74</v>
      </c>
      <c r="I327" t="s">
        <v>2707</v>
      </c>
      <c r="J327" t="s">
        <v>77</v>
      </c>
      <c r="K327" t="s">
        <v>74</v>
      </c>
      <c r="L327" t="s">
        <v>74</v>
      </c>
      <c r="M327" t="s">
        <v>78</v>
      </c>
      <c r="N327" t="s">
        <v>52</v>
      </c>
      <c r="O327" t="s">
        <v>79</v>
      </c>
      <c r="P327" t="s">
        <v>80</v>
      </c>
      <c r="Q327" t="s">
        <v>81</v>
      </c>
      <c r="R327" t="s">
        <v>74</v>
      </c>
      <c r="S327" t="s">
        <v>82</v>
      </c>
      <c r="T327" t="s">
        <v>74</v>
      </c>
      <c r="U327" t="s">
        <v>2708</v>
      </c>
      <c r="V327" t="s">
        <v>74</v>
      </c>
      <c r="W327" t="s">
        <v>2709</v>
      </c>
      <c r="X327" t="s">
        <v>2710</v>
      </c>
      <c r="Y327" t="s">
        <v>74</v>
      </c>
      <c r="Z327" t="s">
        <v>2711</v>
      </c>
      <c r="AA327" t="s">
        <v>74</v>
      </c>
      <c r="AB327" t="s">
        <v>74</v>
      </c>
      <c r="AC327" t="s">
        <v>74</v>
      </c>
      <c r="AD327" t="s">
        <v>74</v>
      </c>
      <c r="AE327" t="s">
        <v>74</v>
      </c>
      <c r="AF327" t="s">
        <v>74</v>
      </c>
      <c r="AG327">
        <v>14</v>
      </c>
      <c r="AH327">
        <v>2</v>
      </c>
      <c r="AI327">
        <v>2</v>
      </c>
      <c r="AJ327">
        <v>0</v>
      </c>
      <c r="AK327">
        <v>0</v>
      </c>
      <c r="AL327" t="s">
        <v>109</v>
      </c>
      <c r="AM327" t="s">
        <v>110</v>
      </c>
      <c r="AN327" t="s">
        <v>111</v>
      </c>
      <c r="AO327" t="s">
        <v>91</v>
      </c>
      <c r="AP327" t="s">
        <v>74</v>
      </c>
      <c r="AQ327" t="s">
        <v>74</v>
      </c>
      <c r="AR327" t="s">
        <v>93</v>
      </c>
      <c r="AS327" t="s">
        <v>94</v>
      </c>
      <c r="AT327" t="s">
        <v>95</v>
      </c>
      <c r="AU327">
        <v>2008</v>
      </c>
      <c r="AV327">
        <v>43</v>
      </c>
      <c r="AW327">
        <v>7</v>
      </c>
      <c r="AX327" t="s">
        <v>74</v>
      </c>
      <c r="AY327" t="s">
        <v>96</v>
      </c>
      <c r="AZ327" t="s">
        <v>74</v>
      </c>
      <c r="BA327" t="s">
        <v>74</v>
      </c>
      <c r="BB327" t="s">
        <v>2712</v>
      </c>
      <c r="BC327" t="s">
        <v>2712</v>
      </c>
      <c r="BD327" t="s">
        <v>74</v>
      </c>
      <c r="BE327" t="s">
        <v>74</v>
      </c>
      <c r="BF327" t="s">
        <v>74</v>
      </c>
      <c r="BG327" t="s">
        <v>74</v>
      </c>
      <c r="BH327" t="s">
        <v>74</v>
      </c>
      <c r="BI327">
        <v>1</v>
      </c>
      <c r="BJ327" t="s">
        <v>98</v>
      </c>
      <c r="BK327" t="s">
        <v>113</v>
      </c>
      <c r="BL327" t="s">
        <v>98</v>
      </c>
      <c r="BM327" t="s">
        <v>100</v>
      </c>
      <c r="BN327" t="s">
        <v>74</v>
      </c>
      <c r="BO327" t="s">
        <v>74</v>
      </c>
      <c r="BP327" t="s">
        <v>74</v>
      </c>
      <c r="BQ327" t="s">
        <v>74</v>
      </c>
      <c r="BR327" t="s">
        <v>101</v>
      </c>
      <c r="BS327" t="s">
        <v>2713</v>
      </c>
      <c r="BT327" t="str">
        <f>HYPERLINK("https%3A%2F%2Fwww.webofscience.com%2Fwos%2Fwoscc%2Ffull-record%2FWOS:000257683100331","View Full Record in Web of Science")</f>
        <v>View Full Record in Web of Science</v>
      </c>
    </row>
    <row r="328" spans="1:72" x14ac:dyDescent="0.15">
      <c r="A328" t="s">
        <v>72</v>
      </c>
      <c r="B328" t="s">
        <v>2714</v>
      </c>
      <c r="C328" t="s">
        <v>74</v>
      </c>
      <c r="D328" t="s">
        <v>74</v>
      </c>
      <c r="E328" t="s">
        <v>74</v>
      </c>
      <c r="F328" t="s">
        <v>2715</v>
      </c>
      <c r="G328" t="s">
        <v>74</v>
      </c>
      <c r="H328" t="s">
        <v>74</v>
      </c>
      <c r="I328" t="s">
        <v>2716</v>
      </c>
      <c r="J328" t="s">
        <v>77</v>
      </c>
      <c r="K328" t="s">
        <v>74</v>
      </c>
      <c r="L328" t="s">
        <v>74</v>
      </c>
      <c r="M328" t="s">
        <v>78</v>
      </c>
      <c r="N328" t="s">
        <v>52</v>
      </c>
      <c r="O328" t="s">
        <v>79</v>
      </c>
      <c r="P328" t="s">
        <v>80</v>
      </c>
      <c r="Q328" t="s">
        <v>81</v>
      </c>
      <c r="R328" t="s">
        <v>74</v>
      </c>
      <c r="S328" t="s">
        <v>82</v>
      </c>
      <c r="T328" t="s">
        <v>74</v>
      </c>
      <c r="U328" t="s">
        <v>2717</v>
      </c>
      <c r="V328" t="s">
        <v>74</v>
      </c>
      <c r="W328" t="s">
        <v>2718</v>
      </c>
      <c r="X328" t="s">
        <v>2719</v>
      </c>
      <c r="Y328" t="s">
        <v>74</v>
      </c>
      <c r="Z328" t="s">
        <v>2720</v>
      </c>
      <c r="AA328" t="s">
        <v>2721</v>
      </c>
      <c r="AB328" t="s">
        <v>74</v>
      </c>
      <c r="AC328" t="s">
        <v>74</v>
      </c>
      <c r="AD328" t="s">
        <v>74</v>
      </c>
      <c r="AE328" t="s">
        <v>74</v>
      </c>
      <c r="AF328" t="s">
        <v>74</v>
      </c>
      <c r="AG328">
        <v>6</v>
      </c>
      <c r="AH328">
        <v>2</v>
      </c>
      <c r="AI328">
        <v>2</v>
      </c>
      <c r="AJ328">
        <v>0</v>
      </c>
      <c r="AK328">
        <v>3</v>
      </c>
      <c r="AL328" t="s">
        <v>109</v>
      </c>
      <c r="AM328" t="s">
        <v>110</v>
      </c>
      <c r="AN328" t="s">
        <v>111</v>
      </c>
      <c r="AO328" t="s">
        <v>91</v>
      </c>
      <c r="AP328" t="s">
        <v>74</v>
      </c>
      <c r="AQ328" t="s">
        <v>74</v>
      </c>
      <c r="AR328" t="s">
        <v>93</v>
      </c>
      <c r="AS328" t="s">
        <v>94</v>
      </c>
      <c r="AT328" t="s">
        <v>95</v>
      </c>
      <c r="AU328">
        <v>2008</v>
      </c>
      <c r="AV328">
        <v>43</v>
      </c>
      <c r="AW328">
        <v>7</v>
      </c>
      <c r="AX328" t="s">
        <v>74</v>
      </c>
      <c r="AY328" t="s">
        <v>96</v>
      </c>
      <c r="AZ328" t="s">
        <v>74</v>
      </c>
      <c r="BA328" t="s">
        <v>74</v>
      </c>
      <c r="BB328" t="s">
        <v>2712</v>
      </c>
      <c r="BC328" t="s">
        <v>2712</v>
      </c>
      <c r="BD328" t="s">
        <v>74</v>
      </c>
      <c r="BE328" t="s">
        <v>74</v>
      </c>
      <c r="BF328" t="s">
        <v>74</v>
      </c>
      <c r="BG328" t="s">
        <v>74</v>
      </c>
      <c r="BH328" t="s">
        <v>74</v>
      </c>
      <c r="BI328">
        <v>1</v>
      </c>
      <c r="BJ328" t="s">
        <v>98</v>
      </c>
      <c r="BK328" t="s">
        <v>113</v>
      </c>
      <c r="BL328" t="s">
        <v>98</v>
      </c>
      <c r="BM328" t="s">
        <v>100</v>
      </c>
      <c r="BN328" t="s">
        <v>74</v>
      </c>
      <c r="BO328" t="s">
        <v>74</v>
      </c>
      <c r="BP328" t="s">
        <v>74</v>
      </c>
      <c r="BQ328" t="s">
        <v>74</v>
      </c>
      <c r="BR328" t="s">
        <v>101</v>
      </c>
      <c r="BS328" t="s">
        <v>2722</v>
      </c>
      <c r="BT328" t="str">
        <f>HYPERLINK("https%3A%2F%2Fwww.webofscience.com%2Fwos%2Fwoscc%2Ffull-record%2FWOS:000257683100332","View Full Record in Web of Science")</f>
        <v>View Full Record in Web of Science</v>
      </c>
    </row>
    <row r="329" spans="1:72" x14ac:dyDescent="0.15">
      <c r="A329" t="s">
        <v>72</v>
      </c>
      <c r="B329" t="s">
        <v>2723</v>
      </c>
      <c r="C329" t="s">
        <v>74</v>
      </c>
      <c r="D329" t="s">
        <v>74</v>
      </c>
      <c r="E329" t="s">
        <v>74</v>
      </c>
      <c r="F329" t="s">
        <v>2724</v>
      </c>
      <c r="G329" t="s">
        <v>74</v>
      </c>
      <c r="H329" t="s">
        <v>74</v>
      </c>
      <c r="I329" t="s">
        <v>2725</v>
      </c>
      <c r="J329" t="s">
        <v>77</v>
      </c>
      <c r="K329" t="s">
        <v>74</v>
      </c>
      <c r="L329" t="s">
        <v>74</v>
      </c>
      <c r="M329" t="s">
        <v>78</v>
      </c>
      <c r="N329" t="s">
        <v>52</v>
      </c>
      <c r="O329" t="s">
        <v>79</v>
      </c>
      <c r="P329" t="s">
        <v>80</v>
      </c>
      <c r="Q329" t="s">
        <v>81</v>
      </c>
      <c r="R329" t="s">
        <v>74</v>
      </c>
      <c r="S329" t="s">
        <v>82</v>
      </c>
      <c r="T329" t="s">
        <v>74</v>
      </c>
      <c r="U329" t="s">
        <v>74</v>
      </c>
      <c r="V329" t="s">
        <v>74</v>
      </c>
      <c r="W329" t="s">
        <v>2726</v>
      </c>
      <c r="X329" t="s">
        <v>2727</v>
      </c>
      <c r="Y329" t="s">
        <v>74</v>
      </c>
      <c r="Z329" t="s">
        <v>2728</v>
      </c>
      <c r="AA329" t="s">
        <v>2729</v>
      </c>
      <c r="AB329" t="s">
        <v>2730</v>
      </c>
      <c r="AC329" t="s">
        <v>74</v>
      </c>
      <c r="AD329" t="s">
        <v>74</v>
      </c>
      <c r="AE329" t="s">
        <v>74</v>
      </c>
      <c r="AF329" t="s">
        <v>74</v>
      </c>
      <c r="AG329">
        <v>3</v>
      </c>
      <c r="AH329">
        <v>0</v>
      </c>
      <c r="AI329">
        <v>0</v>
      </c>
      <c r="AJ329">
        <v>0</v>
      </c>
      <c r="AK329">
        <v>4</v>
      </c>
      <c r="AL329" t="s">
        <v>109</v>
      </c>
      <c r="AM329" t="s">
        <v>110</v>
      </c>
      <c r="AN329" t="s">
        <v>111</v>
      </c>
      <c r="AO329" t="s">
        <v>91</v>
      </c>
      <c r="AP329" t="s">
        <v>74</v>
      </c>
      <c r="AQ329" t="s">
        <v>74</v>
      </c>
      <c r="AR329" t="s">
        <v>93</v>
      </c>
      <c r="AS329" t="s">
        <v>94</v>
      </c>
      <c r="AT329" t="s">
        <v>95</v>
      </c>
      <c r="AU329">
        <v>2008</v>
      </c>
      <c r="AV329">
        <v>43</v>
      </c>
      <c r="AW329">
        <v>7</v>
      </c>
      <c r="AX329" t="s">
        <v>74</v>
      </c>
      <c r="AY329" t="s">
        <v>96</v>
      </c>
      <c r="AZ329" t="s">
        <v>74</v>
      </c>
      <c r="BA329" t="s">
        <v>74</v>
      </c>
      <c r="BB329" t="s">
        <v>2731</v>
      </c>
      <c r="BC329" t="s">
        <v>2731</v>
      </c>
      <c r="BD329" t="s">
        <v>74</v>
      </c>
      <c r="BE329" t="s">
        <v>74</v>
      </c>
      <c r="BF329" t="s">
        <v>74</v>
      </c>
      <c r="BG329" t="s">
        <v>74</v>
      </c>
      <c r="BH329" t="s">
        <v>74</v>
      </c>
      <c r="BI329">
        <v>1</v>
      </c>
      <c r="BJ329" t="s">
        <v>98</v>
      </c>
      <c r="BK329" t="s">
        <v>113</v>
      </c>
      <c r="BL329" t="s">
        <v>98</v>
      </c>
      <c r="BM329" t="s">
        <v>100</v>
      </c>
      <c r="BN329" t="s">
        <v>74</v>
      </c>
      <c r="BO329" t="s">
        <v>74</v>
      </c>
      <c r="BP329" t="s">
        <v>74</v>
      </c>
      <c r="BQ329" t="s">
        <v>74</v>
      </c>
      <c r="BR329" t="s">
        <v>101</v>
      </c>
      <c r="BS329" t="s">
        <v>2732</v>
      </c>
      <c r="BT329" t="str">
        <f>HYPERLINK("https%3A%2F%2Fwww.webofscience.com%2Fwos%2Fwoscc%2Ffull-record%2FWOS:000257683100333","View Full Record in Web of Science")</f>
        <v>View Full Record in Web of Science</v>
      </c>
    </row>
    <row r="330" spans="1:72" x14ac:dyDescent="0.15">
      <c r="A330" t="s">
        <v>72</v>
      </c>
      <c r="B330" t="s">
        <v>2733</v>
      </c>
      <c r="C330" t="s">
        <v>74</v>
      </c>
      <c r="D330" t="s">
        <v>74</v>
      </c>
      <c r="E330" t="s">
        <v>74</v>
      </c>
      <c r="F330" t="s">
        <v>2734</v>
      </c>
      <c r="G330" t="s">
        <v>74</v>
      </c>
      <c r="H330" t="s">
        <v>74</v>
      </c>
      <c r="I330" t="s">
        <v>2735</v>
      </c>
      <c r="J330" t="s">
        <v>2736</v>
      </c>
      <c r="K330" t="s">
        <v>74</v>
      </c>
      <c r="L330" t="s">
        <v>74</v>
      </c>
      <c r="M330" t="s">
        <v>78</v>
      </c>
      <c r="N330" t="s">
        <v>2737</v>
      </c>
      <c r="O330" t="s">
        <v>74</v>
      </c>
      <c r="P330" t="s">
        <v>74</v>
      </c>
      <c r="Q330" t="s">
        <v>74</v>
      </c>
      <c r="R330" t="s">
        <v>74</v>
      </c>
      <c r="S330" t="s">
        <v>74</v>
      </c>
      <c r="T330" t="s">
        <v>74</v>
      </c>
      <c r="U330" t="s">
        <v>2738</v>
      </c>
      <c r="V330" t="s">
        <v>2739</v>
      </c>
      <c r="W330" t="s">
        <v>2740</v>
      </c>
      <c r="X330" t="s">
        <v>2741</v>
      </c>
      <c r="Y330" t="s">
        <v>2742</v>
      </c>
      <c r="Z330" t="s">
        <v>2743</v>
      </c>
      <c r="AA330" t="s">
        <v>2744</v>
      </c>
      <c r="AB330" t="s">
        <v>2745</v>
      </c>
      <c r="AC330" t="s">
        <v>74</v>
      </c>
      <c r="AD330" t="s">
        <v>74</v>
      </c>
      <c r="AE330" t="s">
        <v>74</v>
      </c>
      <c r="AF330" t="s">
        <v>74</v>
      </c>
      <c r="AG330">
        <v>38</v>
      </c>
      <c r="AH330">
        <v>3</v>
      </c>
      <c r="AI330">
        <v>6</v>
      </c>
      <c r="AJ330">
        <v>0</v>
      </c>
      <c r="AK330">
        <v>31</v>
      </c>
      <c r="AL330" t="s">
        <v>2746</v>
      </c>
      <c r="AM330" t="s">
        <v>2747</v>
      </c>
      <c r="AN330" t="s">
        <v>2748</v>
      </c>
      <c r="AO330" t="s">
        <v>2749</v>
      </c>
      <c r="AP330" t="s">
        <v>74</v>
      </c>
      <c r="AQ330" t="s">
        <v>74</v>
      </c>
      <c r="AR330" t="s">
        <v>2750</v>
      </c>
      <c r="AS330" t="s">
        <v>2751</v>
      </c>
      <c r="AT330" t="s">
        <v>95</v>
      </c>
      <c r="AU330">
        <v>2008</v>
      </c>
      <c r="AV330">
        <v>56</v>
      </c>
      <c r="AW330">
        <v>1</v>
      </c>
      <c r="AX330" t="s">
        <v>74</v>
      </c>
      <c r="AY330" t="s">
        <v>74</v>
      </c>
      <c r="AZ330" t="s">
        <v>74</v>
      </c>
      <c r="BA330" t="s">
        <v>74</v>
      </c>
      <c r="BB330">
        <v>101</v>
      </c>
      <c r="BC330">
        <v>111</v>
      </c>
      <c r="BD330" t="s">
        <v>74</v>
      </c>
      <c r="BE330" t="s">
        <v>2752</v>
      </c>
      <c r="BF330" t="str">
        <f>HYPERLINK("http://dx.doi.org/10.1007/s00248-007-9328-9","http://dx.doi.org/10.1007/s00248-007-9328-9")</f>
        <v>http://dx.doi.org/10.1007/s00248-007-9328-9</v>
      </c>
      <c r="BG330" t="s">
        <v>74</v>
      </c>
      <c r="BH330" t="s">
        <v>74</v>
      </c>
      <c r="BI330">
        <v>11</v>
      </c>
      <c r="BJ330" t="s">
        <v>2753</v>
      </c>
      <c r="BK330" t="s">
        <v>419</v>
      </c>
      <c r="BL330" t="s">
        <v>2754</v>
      </c>
      <c r="BM330" t="s">
        <v>2755</v>
      </c>
      <c r="BN330">
        <v>17932714</v>
      </c>
      <c r="BO330" t="s">
        <v>74</v>
      </c>
      <c r="BP330" t="s">
        <v>74</v>
      </c>
      <c r="BQ330" t="s">
        <v>74</v>
      </c>
      <c r="BR330" t="s">
        <v>101</v>
      </c>
      <c r="BS330" t="s">
        <v>2756</v>
      </c>
      <c r="BT330" t="str">
        <f>HYPERLINK("https%3A%2F%2Fwww.webofscience.com%2Fwos%2Fwoscc%2Ffull-record%2FWOS:000256472700010","View Full Record in Web of Science")</f>
        <v>View Full Record in Web of Science</v>
      </c>
    </row>
    <row r="331" spans="1:72" x14ac:dyDescent="0.15">
      <c r="A331" t="s">
        <v>72</v>
      </c>
      <c r="B331" t="s">
        <v>2757</v>
      </c>
      <c r="C331" t="s">
        <v>74</v>
      </c>
      <c r="D331" t="s">
        <v>74</v>
      </c>
      <c r="E331" t="s">
        <v>74</v>
      </c>
      <c r="F331" t="s">
        <v>2758</v>
      </c>
      <c r="G331" t="s">
        <v>74</v>
      </c>
      <c r="H331" t="s">
        <v>74</v>
      </c>
      <c r="I331" t="s">
        <v>2759</v>
      </c>
      <c r="J331" t="s">
        <v>2760</v>
      </c>
      <c r="K331" t="s">
        <v>74</v>
      </c>
      <c r="L331" t="s">
        <v>74</v>
      </c>
      <c r="M331" t="s">
        <v>78</v>
      </c>
      <c r="N331" t="s">
        <v>2737</v>
      </c>
      <c r="O331" t="s">
        <v>74</v>
      </c>
      <c r="P331" t="s">
        <v>74</v>
      </c>
      <c r="Q331" t="s">
        <v>74</v>
      </c>
      <c r="R331" t="s">
        <v>74</v>
      </c>
      <c r="S331" t="s">
        <v>74</v>
      </c>
      <c r="T331" t="s">
        <v>2761</v>
      </c>
      <c r="U331" t="s">
        <v>2762</v>
      </c>
      <c r="V331" t="s">
        <v>2763</v>
      </c>
      <c r="W331" t="s">
        <v>2764</v>
      </c>
      <c r="X331" t="s">
        <v>2765</v>
      </c>
      <c r="Y331" t="s">
        <v>2766</v>
      </c>
      <c r="Z331" t="s">
        <v>2767</v>
      </c>
      <c r="AA331" t="s">
        <v>2768</v>
      </c>
      <c r="AB331" t="s">
        <v>2769</v>
      </c>
      <c r="AC331" t="s">
        <v>74</v>
      </c>
      <c r="AD331" t="s">
        <v>74</v>
      </c>
      <c r="AE331" t="s">
        <v>74</v>
      </c>
      <c r="AF331" t="s">
        <v>74</v>
      </c>
      <c r="AG331">
        <v>57</v>
      </c>
      <c r="AH331">
        <v>49</v>
      </c>
      <c r="AI331">
        <v>57</v>
      </c>
      <c r="AJ331">
        <v>3</v>
      </c>
      <c r="AK331">
        <v>147</v>
      </c>
      <c r="AL331" t="s">
        <v>149</v>
      </c>
      <c r="AM331" t="s">
        <v>150</v>
      </c>
      <c r="AN331" t="s">
        <v>151</v>
      </c>
      <c r="AO331" t="s">
        <v>2770</v>
      </c>
      <c r="AP331" t="s">
        <v>74</v>
      </c>
      <c r="AQ331" t="s">
        <v>74</v>
      </c>
      <c r="AR331" t="s">
        <v>2771</v>
      </c>
      <c r="AS331" t="s">
        <v>2772</v>
      </c>
      <c r="AT331" t="s">
        <v>95</v>
      </c>
      <c r="AU331">
        <v>2008</v>
      </c>
      <c r="AV331">
        <v>17</v>
      </c>
      <c r="AW331">
        <v>13</v>
      </c>
      <c r="AX331" t="s">
        <v>74</v>
      </c>
      <c r="AY331" t="s">
        <v>74</v>
      </c>
      <c r="AZ331" t="s">
        <v>74</v>
      </c>
      <c r="BA331" t="s">
        <v>74</v>
      </c>
      <c r="BB331">
        <v>3078</v>
      </c>
      <c r="BC331">
        <v>3094</v>
      </c>
      <c r="BD331" t="s">
        <v>74</v>
      </c>
      <c r="BE331" t="s">
        <v>2773</v>
      </c>
      <c r="BF331" t="str">
        <f>HYPERLINK("http://dx.doi.org/10.1111/j.1365-294X.2008.03819.x","http://dx.doi.org/10.1111/j.1365-294X.2008.03819.x")</f>
        <v>http://dx.doi.org/10.1111/j.1365-294X.2008.03819.x</v>
      </c>
      <c r="BG331" t="s">
        <v>74</v>
      </c>
      <c r="BH331" t="s">
        <v>74</v>
      </c>
      <c r="BI331">
        <v>17</v>
      </c>
      <c r="BJ331" t="s">
        <v>2774</v>
      </c>
      <c r="BK331" t="s">
        <v>419</v>
      </c>
      <c r="BL331" t="s">
        <v>2775</v>
      </c>
      <c r="BM331" t="s">
        <v>2776</v>
      </c>
      <c r="BN331">
        <v>18494764</v>
      </c>
      <c r="BO331" t="s">
        <v>74</v>
      </c>
      <c r="BP331" t="s">
        <v>74</v>
      </c>
      <c r="BQ331" t="s">
        <v>74</v>
      </c>
      <c r="BR331" t="s">
        <v>101</v>
      </c>
      <c r="BS331" t="s">
        <v>2777</v>
      </c>
      <c r="BT331" t="str">
        <f>HYPERLINK("https%3A%2F%2Fwww.webofscience.com%2Fwos%2Fwoscc%2Ffull-record%2FWOS:000256922000004","View Full Record in Web of Science")</f>
        <v>View Full Record in Web of Science</v>
      </c>
    </row>
    <row r="332" spans="1:72" x14ac:dyDescent="0.15">
      <c r="A332" t="s">
        <v>72</v>
      </c>
      <c r="B332" t="s">
        <v>2778</v>
      </c>
      <c r="C332" t="s">
        <v>74</v>
      </c>
      <c r="D332" t="s">
        <v>74</v>
      </c>
      <c r="E332" t="s">
        <v>74</v>
      </c>
      <c r="F332" t="s">
        <v>2779</v>
      </c>
      <c r="G332" t="s">
        <v>74</v>
      </c>
      <c r="H332" t="s">
        <v>74</v>
      </c>
      <c r="I332" t="s">
        <v>2780</v>
      </c>
      <c r="J332" t="s">
        <v>2781</v>
      </c>
      <c r="K332" t="s">
        <v>74</v>
      </c>
      <c r="L332" t="s">
        <v>74</v>
      </c>
      <c r="M332" t="s">
        <v>78</v>
      </c>
      <c r="N332" t="s">
        <v>2737</v>
      </c>
      <c r="O332" t="s">
        <v>74</v>
      </c>
      <c r="P332" t="s">
        <v>74</v>
      </c>
      <c r="Q332" t="s">
        <v>74</v>
      </c>
      <c r="R332" t="s">
        <v>74</v>
      </c>
      <c r="S332" t="s">
        <v>74</v>
      </c>
      <c r="T332" t="s">
        <v>2782</v>
      </c>
      <c r="U332" t="s">
        <v>2783</v>
      </c>
      <c r="V332" t="s">
        <v>2784</v>
      </c>
      <c r="W332" t="s">
        <v>2785</v>
      </c>
      <c r="X332" t="s">
        <v>2786</v>
      </c>
      <c r="Y332" t="s">
        <v>2787</v>
      </c>
      <c r="Z332" t="s">
        <v>2788</v>
      </c>
      <c r="AA332" t="s">
        <v>2789</v>
      </c>
      <c r="AB332" t="s">
        <v>2790</v>
      </c>
      <c r="AC332" t="s">
        <v>2791</v>
      </c>
      <c r="AD332" t="s">
        <v>2792</v>
      </c>
      <c r="AE332" t="s">
        <v>74</v>
      </c>
      <c r="AF332" t="s">
        <v>74</v>
      </c>
      <c r="AG332">
        <v>37</v>
      </c>
      <c r="AH332">
        <v>13</v>
      </c>
      <c r="AI332">
        <v>13</v>
      </c>
      <c r="AJ332">
        <v>0</v>
      </c>
      <c r="AK332">
        <v>2</v>
      </c>
      <c r="AL332" t="s">
        <v>2746</v>
      </c>
      <c r="AM332" t="s">
        <v>2793</v>
      </c>
      <c r="AN332" t="s">
        <v>2794</v>
      </c>
      <c r="AO332" t="s">
        <v>2795</v>
      </c>
      <c r="AP332" t="s">
        <v>2796</v>
      </c>
      <c r="AQ332" t="s">
        <v>74</v>
      </c>
      <c r="AR332" t="s">
        <v>2781</v>
      </c>
      <c r="AS332" t="s">
        <v>2797</v>
      </c>
      <c r="AT332" t="s">
        <v>95</v>
      </c>
      <c r="AU332">
        <v>2008</v>
      </c>
      <c r="AV332">
        <v>166</v>
      </c>
      <c r="AW332">
        <v>1</v>
      </c>
      <c r="AX332" t="s">
        <v>74</v>
      </c>
      <c r="AY332" t="s">
        <v>74</v>
      </c>
      <c r="AZ332" t="s">
        <v>74</v>
      </c>
      <c r="BA332" t="s">
        <v>74</v>
      </c>
      <c r="BB332">
        <v>1</v>
      </c>
      <c r="BC332">
        <v>16</v>
      </c>
      <c r="BD332" t="s">
        <v>74</v>
      </c>
      <c r="BE332" t="s">
        <v>2798</v>
      </c>
      <c r="BF332" t="str">
        <f>HYPERLINK("http://dx.doi.org/10.1007/s11046-008-9094-3","http://dx.doi.org/10.1007/s11046-008-9094-3")</f>
        <v>http://dx.doi.org/10.1007/s11046-008-9094-3</v>
      </c>
      <c r="BG332" t="s">
        <v>74</v>
      </c>
      <c r="BH332" t="s">
        <v>74</v>
      </c>
      <c r="BI332">
        <v>16</v>
      </c>
      <c r="BJ332" t="s">
        <v>2799</v>
      </c>
      <c r="BK332" t="s">
        <v>419</v>
      </c>
      <c r="BL332" t="s">
        <v>2799</v>
      </c>
      <c r="BM332" t="s">
        <v>2800</v>
      </c>
      <c r="BN332">
        <v>18340548</v>
      </c>
      <c r="BO332" t="s">
        <v>74</v>
      </c>
      <c r="BP332" t="s">
        <v>74</v>
      </c>
      <c r="BQ332" t="s">
        <v>74</v>
      </c>
      <c r="BR332" t="s">
        <v>101</v>
      </c>
      <c r="BS332" t="s">
        <v>2801</v>
      </c>
      <c r="BT332" t="str">
        <f>HYPERLINK("https%3A%2F%2Fwww.webofscience.com%2Fwos%2Fwoscc%2Ffull-record%2FWOS:000257215400001","View Full Record in Web of Science")</f>
        <v>View Full Record in Web of Science</v>
      </c>
    </row>
    <row r="333" spans="1:72" x14ac:dyDescent="0.15">
      <c r="A333" t="s">
        <v>72</v>
      </c>
      <c r="B333" t="s">
        <v>2802</v>
      </c>
      <c r="C333" t="s">
        <v>74</v>
      </c>
      <c r="D333" t="s">
        <v>74</v>
      </c>
      <c r="E333" t="s">
        <v>74</v>
      </c>
      <c r="F333" t="s">
        <v>2803</v>
      </c>
      <c r="G333" t="s">
        <v>74</v>
      </c>
      <c r="H333" t="s">
        <v>74</v>
      </c>
      <c r="I333" t="s">
        <v>2804</v>
      </c>
      <c r="J333" t="s">
        <v>2805</v>
      </c>
      <c r="K333" t="s">
        <v>74</v>
      </c>
      <c r="L333" t="s">
        <v>74</v>
      </c>
      <c r="M333" t="s">
        <v>78</v>
      </c>
      <c r="N333" t="s">
        <v>2737</v>
      </c>
      <c r="O333" t="s">
        <v>74</v>
      </c>
      <c r="P333" t="s">
        <v>74</v>
      </c>
      <c r="Q333" t="s">
        <v>74</v>
      </c>
      <c r="R333" t="s">
        <v>74</v>
      </c>
      <c r="S333" t="s">
        <v>74</v>
      </c>
      <c r="T333" t="s">
        <v>2806</v>
      </c>
      <c r="U333" t="s">
        <v>2807</v>
      </c>
      <c r="V333" t="s">
        <v>2808</v>
      </c>
      <c r="W333" t="s">
        <v>2809</v>
      </c>
      <c r="X333" t="s">
        <v>2810</v>
      </c>
      <c r="Y333" t="s">
        <v>2811</v>
      </c>
      <c r="Z333" t="s">
        <v>2812</v>
      </c>
      <c r="AA333" t="s">
        <v>2813</v>
      </c>
      <c r="AB333" t="s">
        <v>2814</v>
      </c>
      <c r="AC333" t="s">
        <v>74</v>
      </c>
      <c r="AD333" t="s">
        <v>74</v>
      </c>
      <c r="AE333" t="s">
        <v>74</v>
      </c>
      <c r="AF333" t="s">
        <v>74</v>
      </c>
      <c r="AG333">
        <v>40</v>
      </c>
      <c r="AH333">
        <v>31</v>
      </c>
      <c r="AI333">
        <v>35</v>
      </c>
      <c r="AJ333">
        <v>0</v>
      </c>
      <c r="AK333">
        <v>13</v>
      </c>
      <c r="AL333" t="s">
        <v>2815</v>
      </c>
      <c r="AM333" t="s">
        <v>2816</v>
      </c>
      <c r="AN333" t="s">
        <v>2817</v>
      </c>
      <c r="AO333" t="s">
        <v>2818</v>
      </c>
      <c r="AP333" t="s">
        <v>2819</v>
      </c>
      <c r="AQ333" t="s">
        <v>74</v>
      </c>
      <c r="AR333" t="s">
        <v>2805</v>
      </c>
      <c r="AS333" t="s">
        <v>2820</v>
      </c>
      <c r="AT333" t="s">
        <v>95</v>
      </c>
      <c r="AU333">
        <v>2008</v>
      </c>
      <c r="AV333">
        <v>47</v>
      </c>
      <c r="AW333">
        <v>4</v>
      </c>
      <c r="AX333" t="s">
        <v>74</v>
      </c>
      <c r="AY333" t="s">
        <v>74</v>
      </c>
      <c r="AZ333" t="s">
        <v>74</v>
      </c>
      <c r="BA333" t="s">
        <v>74</v>
      </c>
      <c r="BB333">
        <v>361</v>
      </c>
      <c r="BC333">
        <v>370</v>
      </c>
      <c r="BD333" t="s">
        <v>74</v>
      </c>
      <c r="BE333" t="s">
        <v>2821</v>
      </c>
      <c r="BF333" t="str">
        <f>HYPERLINK("http://dx.doi.org/10.2216/PH07-84.1","http://dx.doi.org/10.2216/PH07-84.1")</f>
        <v>http://dx.doi.org/10.2216/PH07-84.1</v>
      </c>
      <c r="BG333" t="s">
        <v>74</v>
      </c>
      <c r="BH333" t="s">
        <v>74</v>
      </c>
      <c r="BI333">
        <v>10</v>
      </c>
      <c r="BJ333" t="s">
        <v>2822</v>
      </c>
      <c r="BK333" t="s">
        <v>419</v>
      </c>
      <c r="BL333" t="s">
        <v>2822</v>
      </c>
      <c r="BM333" t="s">
        <v>2823</v>
      </c>
      <c r="BN333" t="s">
        <v>74</v>
      </c>
      <c r="BO333" t="s">
        <v>74</v>
      </c>
      <c r="BP333" t="s">
        <v>74</v>
      </c>
      <c r="BQ333" t="s">
        <v>74</v>
      </c>
      <c r="BR333" t="s">
        <v>101</v>
      </c>
      <c r="BS333" t="s">
        <v>2824</v>
      </c>
      <c r="BT333" t="str">
        <f>HYPERLINK("https%3A%2F%2Fwww.webofscience.com%2Fwos%2Fwoscc%2Ffull-record%2FWOS:000257473100003","View Full Record in Web of Science")</f>
        <v>View Full Record in Web of Science</v>
      </c>
    </row>
    <row r="334" spans="1:72" x14ac:dyDescent="0.15">
      <c r="A334" t="s">
        <v>72</v>
      </c>
      <c r="B334" t="s">
        <v>2825</v>
      </c>
      <c r="C334" t="s">
        <v>74</v>
      </c>
      <c r="D334" t="s">
        <v>74</v>
      </c>
      <c r="E334" t="s">
        <v>74</v>
      </c>
      <c r="F334" t="s">
        <v>2826</v>
      </c>
      <c r="G334" t="s">
        <v>74</v>
      </c>
      <c r="H334" t="s">
        <v>74</v>
      </c>
      <c r="I334" t="s">
        <v>2827</v>
      </c>
      <c r="J334" t="s">
        <v>2805</v>
      </c>
      <c r="K334" t="s">
        <v>74</v>
      </c>
      <c r="L334" t="s">
        <v>74</v>
      </c>
      <c r="M334" t="s">
        <v>78</v>
      </c>
      <c r="N334" t="s">
        <v>2737</v>
      </c>
      <c r="O334" t="s">
        <v>74</v>
      </c>
      <c r="P334" t="s">
        <v>74</v>
      </c>
      <c r="Q334" t="s">
        <v>74</v>
      </c>
      <c r="R334" t="s">
        <v>74</v>
      </c>
      <c r="S334" t="s">
        <v>74</v>
      </c>
      <c r="T334" t="s">
        <v>2828</v>
      </c>
      <c r="U334" t="s">
        <v>74</v>
      </c>
      <c r="V334" t="s">
        <v>2829</v>
      </c>
      <c r="W334" t="s">
        <v>2830</v>
      </c>
      <c r="X334" t="s">
        <v>2831</v>
      </c>
      <c r="Y334" t="s">
        <v>2832</v>
      </c>
      <c r="Z334" t="s">
        <v>2833</v>
      </c>
      <c r="AA334" t="s">
        <v>2834</v>
      </c>
      <c r="AB334" t="s">
        <v>2835</v>
      </c>
      <c r="AC334" t="s">
        <v>74</v>
      </c>
      <c r="AD334" t="s">
        <v>74</v>
      </c>
      <c r="AE334" t="s">
        <v>74</v>
      </c>
      <c r="AF334" t="s">
        <v>74</v>
      </c>
      <c r="AG334">
        <v>12</v>
      </c>
      <c r="AH334">
        <v>14</v>
      </c>
      <c r="AI334">
        <v>14</v>
      </c>
      <c r="AJ334">
        <v>1</v>
      </c>
      <c r="AK334">
        <v>20</v>
      </c>
      <c r="AL334" t="s">
        <v>2836</v>
      </c>
      <c r="AM334" t="s">
        <v>2837</v>
      </c>
      <c r="AN334" t="s">
        <v>2838</v>
      </c>
      <c r="AO334" t="s">
        <v>2818</v>
      </c>
      <c r="AP334" t="s">
        <v>74</v>
      </c>
      <c r="AQ334" t="s">
        <v>74</v>
      </c>
      <c r="AR334" t="s">
        <v>2805</v>
      </c>
      <c r="AS334" t="s">
        <v>2820</v>
      </c>
      <c r="AT334" t="s">
        <v>95</v>
      </c>
      <c r="AU334">
        <v>2008</v>
      </c>
      <c r="AV334">
        <v>47</v>
      </c>
      <c r="AW334">
        <v>4</v>
      </c>
      <c r="AX334" t="s">
        <v>74</v>
      </c>
      <c r="AY334" t="s">
        <v>74</v>
      </c>
      <c r="AZ334" t="s">
        <v>74</v>
      </c>
      <c r="BA334" t="s">
        <v>74</v>
      </c>
      <c r="BB334">
        <v>430</v>
      </c>
      <c r="BC334">
        <v>434</v>
      </c>
      <c r="BD334" t="s">
        <v>74</v>
      </c>
      <c r="BE334" t="s">
        <v>2839</v>
      </c>
      <c r="BF334" t="str">
        <f>HYPERLINK("http://dx.doi.org/10.2216/PH07-90.1","http://dx.doi.org/10.2216/PH07-90.1")</f>
        <v>http://dx.doi.org/10.2216/PH07-90.1</v>
      </c>
      <c r="BG334" t="s">
        <v>74</v>
      </c>
      <c r="BH334" t="s">
        <v>74</v>
      </c>
      <c r="BI334">
        <v>5</v>
      </c>
      <c r="BJ334" t="s">
        <v>2822</v>
      </c>
      <c r="BK334" t="s">
        <v>419</v>
      </c>
      <c r="BL334" t="s">
        <v>2822</v>
      </c>
      <c r="BM334" t="s">
        <v>2823</v>
      </c>
      <c r="BN334" t="s">
        <v>74</v>
      </c>
      <c r="BO334" t="s">
        <v>74</v>
      </c>
      <c r="BP334" t="s">
        <v>74</v>
      </c>
      <c r="BQ334" t="s">
        <v>74</v>
      </c>
      <c r="BR334" t="s">
        <v>101</v>
      </c>
      <c r="BS334" t="s">
        <v>2840</v>
      </c>
      <c r="BT334" t="str">
        <f>HYPERLINK("https%3A%2F%2Fwww.webofscience.com%2Fwos%2Fwoscc%2Ffull-record%2FWOS:000257473100008","View Full Record in Web of Science")</f>
        <v>View Full Record in Web of Science</v>
      </c>
    </row>
    <row r="335" spans="1:72" x14ac:dyDescent="0.15">
      <c r="A335" t="s">
        <v>72</v>
      </c>
      <c r="B335" t="s">
        <v>2841</v>
      </c>
      <c r="C335" t="s">
        <v>74</v>
      </c>
      <c r="D335" t="s">
        <v>74</v>
      </c>
      <c r="E335" t="s">
        <v>74</v>
      </c>
      <c r="F335" t="s">
        <v>2842</v>
      </c>
      <c r="G335" t="s">
        <v>74</v>
      </c>
      <c r="H335" t="s">
        <v>74</v>
      </c>
      <c r="I335" t="s">
        <v>2843</v>
      </c>
      <c r="J335" t="s">
        <v>2844</v>
      </c>
      <c r="K335" t="s">
        <v>74</v>
      </c>
      <c r="L335" t="s">
        <v>74</v>
      </c>
      <c r="M335" t="s">
        <v>78</v>
      </c>
      <c r="N335" t="s">
        <v>2737</v>
      </c>
      <c r="O335" t="s">
        <v>74</v>
      </c>
      <c r="P335" t="s">
        <v>74</v>
      </c>
      <c r="Q335" t="s">
        <v>74</v>
      </c>
      <c r="R335" t="s">
        <v>74</v>
      </c>
      <c r="S335" t="s">
        <v>74</v>
      </c>
      <c r="T335" t="s">
        <v>2845</v>
      </c>
      <c r="U335" t="s">
        <v>2846</v>
      </c>
      <c r="V335" t="s">
        <v>2847</v>
      </c>
      <c r="W335" t="s">
        <v>2848</v>
      </c>
      <c r="X335" t="s">
        <v>2849</v>
      </c>
      <c r="Y335" t="s">
        <v>2850</v>
      </c>
      <c r="Z335" t="s">
        <v>2851</v>
      </c>
      <c r="AA335" t="s">
        <v>74</v>
      </c>
      <c r="AB335" t="s">
        <v>2852</v>
      </c>
      <c r="AC335" t="s">
        <v>74</v>
      </c>
      <c r="AD335" t="s">
        <v>74</v>
      </c>
      <c r="AE335" t="s">
        <v>74</v>
      </c>
      <c r="AF335" t="s">
        <v>74</v>
      </c>
      <c r="AG335">
        <v>41</v>
      </c>
      <c r="AH335">
        <v>51</v>
      </c>
      <c r="AI335">
        <v>57</v>
      </c>
      <c r="AJ335">
        <v>3</v>
      </c>
      <c r="AK335">
        <v>36</v>
      </c>
      <c r="AL335" t="s">
        <v>88</v>
      </c>
      <c r="AM335" t="s">
        <v>89</v>
      </c>
      <c r="AN335" t="s">
        <v>90</v>
      </c>
      <c r="AO335" t="s">
        <v>2853</v>
      </c>
      <c r="AP335" t="s">
        <v>2854</v>
      </c>
      <c r="AQ335" t="s">
        <v>74</v>
      </c>
      <c r="AR335" t="s">
        <v>2844</v>
      </c>
      <c r="AS335" t="s">
        <v>2855</v>
      </c>
      <c r="AT335" t="s">
        <v>95</v>
      </c>
      <c r="AU335">
        <v>2008</v>
      </c>
      <c r="AV335">
        <v>10</v>
      </c>
      <c r="AW335">
        <v>4</v>
      </c>
      <c r="AX335" t="s">
        <v>74</v>
      </c>
      <c r="AY335" t="s">
        <v>74</v>
      </c>
      <c r="AZ335" t="s">
        <v>74</v>
      </c>
      <c r="BA335" t="s">
        <v>74</v>
      </c>
      <c r="BB335">
        <v>519</v>
      </c>
      <c r="BC335">
        <v>526</v>
      </c>
      <c r="BD335" t="s">
        <v>74</v>
      </c>
      <c r="BE335" t="s">
        <v>2856</v>
      </c>
      <c r="BF335" t="str">
        <f>HYPERLINK("http://dx.doi.org/10.1111/j.1438-8677.2008.00040.x","http://dx.doi.org/10.1111/j.1438-8677.2008.00040.x")</f>
        <v>http://dx.doi.org/10.1111/j.1438-8677.2008.00040.x</v>
      </c>
      <c r="BG335" t="s">
        <v>74</v>
      </c>
      <c r="BH335" t="s">
        <v>74</v>
      </c>
      <c r="BI335">
        <v>8</v>
      </c>
      <c r="BJ335" t="s">
        <v>2857</v>
      </c>
      <c r="BK335" t="s">
        <v>419</v>
      </c>
      <c r="BL335" t="s">
        <v>2857</v>
      </c>
      <c r="BM335" t="s">
        <v>2858</v>
      </c>
      <c r="BN335">
        <v>18557912</v>
      </c>
      <c r="BO335" t="s">
        <v>74</v>
      </c>
      <c r="BP335" t="s">
        <v>74</v>
      </c>
      <c r="BQ335" t="s">
        <v>74</v>
      </c>
      <c r="BR335" t="s">
        <v>101</v>
      </c>
      <c r="BS335" t="s">
        <v>2859</v>
      </c>
      <c r="BT335" t="str">
        <f>HYPERLINK("https%3A%2F%2Fwww.webofscience.com%2Fwos%2Fwoscc%2Ffull-record%2FWOS:000256690100012","View Full Record in Web of Science")</f>
        <v>View Full Record in Web of Science</v>
      </c>
    </row>
    <row r="336" spans="1:72" x14ac:dyDescent="0.15">
      <c r="A336" t="s">
        <v>72</v>
      </c>
      <c r="B336" t="s">
        <v>2860</v>
      </c>
      <c r="C336" t="s">
        <v>74</v>
      </c>
      <c r="D336" t="s">
        <v>74</v>
      </c>
      <c r="E336" t="s">
        <v>74</v>
      </c>
      <c r="F336" t="s">
        <v>2861</v>
      </c>
      <c r="G336" t="s">
        <v>74</v>
      </c>
      <c r="H336" t="s">
        <v>74</v>
      </c>
      <c r="I336" t="s">
        <v>2862</v>
      </c>
      <c r="J336" t="s">
        <v>2863</v>
      </c>
      <c r="K336" t="s">
        <v>74</v>
      </c>
      <c r="L336" t="s">
        <v>74</v>
      </c>
      <c r="M336" t="s">
        <v>78</v>
      </c>
      <c r="N336" t="s">
        <v>52</v>
      </c>
      <c r="O336" t="s">
        <v>2864</v>
      </c>
      <c r="P336" t="s">
        <v>2865</v>
      </c>
      <c r="Q336" t="s">
        <v>2866</v>
      </c>
      <c r="R336" t="s">
        <v>74</v>
      </c>
      <c r="S336" t="s">
        <v>74</v>
      </c>
      <c r="T336" t="s">
        <v>74</v>
      </c>
      <c r="U336" t="s">
        <v>74</v>
      </c>
      <c r="V336" t="s">
        <v>74</v>
      </c>
      <c r="W336" t="s">
        <v>2867</v>
      </c>
      <c r="X336" t="s">
        <v>2868</v>
      </c>
      <c r="Y336" t="s">
        <v>74</v>
      </c>
      <c r="Z336" t="s">
        <v>74</v>
      </c>
      <c r="AA336" t="s">
        <v>2869</v>
      </c>
      <c r="AB336" t="s">
        <v>74</v>
      </c>
      <c r="AC336" t="s">
        <v>74</v>
      </c>
      <c r="AD336" t="s">
        <v>74</v>
      </c>
      <c r="AE336" t="s">
        <v>74</v>
      </c>
      <c r="AF336" t="s">
        <v>74</v>
      </c>
      <c r="AG336">
        <v>2</v>
      </c>
      <c r="AH336">
        <v>0</v>
      </c>
      <c r="AI336">
        <v>0</v>
      </c>
      <c r="AJ336">
        <v>0</v>
      </c>
      <c r="AK336">
        <v>1</v>
      </c>
      <c r="AL336" t="s">
        <v>2870</v>
      </c>
      <c r="AM336" t="s">
        <v>2871</v>
      </c>
      <c r="AN336" t="s">
        <v>2872</v>
      </c>
      <c r="AO336" t="s">
        <v>2873</v>
      </c>
      <c r="AP336" t="s">
        <v>74</v>
      </c>
      <c r="AQ336" t="s">
        <v>74</v>
      </c>
      <c r="AR336" t="s">
        <v>2874</v>
      </c>
      <c r="AS336" t="s">
        <v>2875</v>
      </c>
      <c r="AT336" t="s">
        <v>95</v>
      </c>
      <c r="AU336">
        <v>2008</v>
      </c>
      <c r="AV336">
        <v>74</v>
      </c>
      <c r="AW336">
        <v>9</v>
      </c>
      <c r="AX336" t="s">
        <v>74</v>
      </c>
      <c r="AY336" t="s">
        <v>74</v>
      </c>
      <c r="AZ336" t="s">
        <v>74</v>
      </c>
      <c r="BA336" t="s">
        <v>74</v>
      </c>
      <c r="BB336">
        <v>1057</v>
      </c>
      <c r="BC336">
        <v>1058</v>
      </c>
      <c r="BD336" t="s">
        <v>74</v>
      </c>
      <c r="BE336" t="s">
        <v>74</v>
      </c>
      <c r="BF336" t="s">
        <v>74</v>
      </c>
      <c r="BG336" t="s">
        <v>74</v>
      </c>
      <c r="BH336" t="s">
        <v>74</v>
      </c>
      <c r="BI336">
        <v>2</v>
      </c>
      <c r="BJ336" t="s">
        <v>2876</v>
      </c>
      <c r="BK336" t="s">
        <v>99</v>
      </c>
      <c r="BL336" t="s">
        <v>2877</v>
      </c>
      <c r="BM336" t="s">
        <v>2878</v>
      </c>
      <c r="BN336" t="s">
        <v>74</v>
      </c>
      <c r="BO336" t="s">
        <v>74</v>
      </c>
      <c r="BP336" t="s">
        <v>74</v>
      </c>
      <c r="BQ336" t="s">
        <v>74</v>
      </c>
      <c r="BR336" t="s">
        <v>101</v>
      </c>
      <c r="BS336" t="s">
        <v>2879</v>
      </c>
      <c r="BT336" t="str">
        <f>HYPERLINK("https%3A%2F%2Fwww.webofscience.com%2Fwos%2Fwoscc%2Ffull-record%2FWOS:000258261801016","View Full Record in Web of Science")</f>
        <v>View Full Record in Web of Science</v>
      </c>
    </row>
    <row r="337" spans="1:72" x14ac:dyDescent="0.15">
      <c r="A337" t="s">
        <v>72</v>
      </c>
      <c r="B337" t="s">
        <v>2880</v>
      </c>
      <c r="C337" t="s">
        <v>74</v>
      </c>
      <c r="D337" t="s">
        <v>74</v>
      </c>
      <c r="E337" t="s">
        <v>74</v>
      </c>
      <c r="F337" t="s">
        <v>2881</v>
      </c>
      <c r="G337" t="s">
        <v>74</v>
      </c>
      <c r="H337" t="s">
        <v>74</v>
      </c>
      <c r="I337" t="s">
        <v>2882</v>
      </c>
      <c r="J337" t="s">
        <v>2883</v>
      </c>
      <c r="K337" t="s">
        <v>74</v>
      </c>
      <c r="L337" t="s">
        <v>74</v>
      </c>
      <c r="M337" t="s">
        <v>78</v>
      </c>
      <c r="N337" t="s">
        <v>2737</v>
      </c>
      <c r="O337" t="s">
        <v>74</v>
      </c>
      <c r="P337" t="s">
        <v>74</v>
      </c>
      <c r="Q337" t="s">
        <v>74</v>
      </c>
      <c r="R337" t="s">
        <v>74</v>
      </c>
      <c r="S337" t="s">
        <v>74</v>
      </c>
      <c r="T337" t="s">
        <v>2884</v>
      </c>
      <c r="U337" t="s">
        <v>2885</v>
      </c>
      <c r="V337" t="s">
        <v>2886</v>
      </c>
      <c r="W337" t="s">
        <v>2887</v>
      </c>
      <c r="X337" t="s">
        <v>2888</v>
      </c>
      <c r="Y337" t="s">
        <v>2889</v>
      </c>
      <c r="Z337" t="s">
        <v>2890</v>
      </c>
      <c r="AA337" t="s">
        <v>74</v>
      </c>
      <c r="AB337" t="s">
        <v>74</v>
      </c>
      <c r="AC337" t="s">
        <v>74</v>
      </c>
      <c r="AD337" t="s">
        <v>74</v>
      </c>
      <c r="AE337" t="s">
        <v>74</v>
      </c>
      <c r="AF337" t="s">
        <v>74</v>
      </c>
      <c r="AG337">
        <v>33</v>
      </c>
      <c r="AH337">
        <v>7</v>
      </c>
      <c r="AI337">
        <v>7</v>
      </c>
      <c r="AJ337">
        <v>0</v>
      </c>
      <c r="AK337">
        <v>8</v>
      </c>
      <c r="AL337" t="s">
        <v>2746</v>
      </c>
      <c r="AM337" t="s">
        <v>2747</v>
      </c>
      <c r="AN337" t="s">
        <v>2748</v>
      </c>
      <c r="AO337" t="s">
        <v>2891</v>
      </c>
      <c r="AP337" t="s">
        <v>74</v>
      </c>
      <c r="AQ337" t="s">
        <v>74</v>
      </c>
      <c r="AR337" t="s">
        <v>2892</v>
      </c>
      <c r="AS337" t="s">
        <v>2893</v>
      </c>
      <c r="AT337" t="s">
        <v>95</v>
      </c>
      <c r="AU337">
        <v>2008</v>
      </c>
      <c r="AV337">
        <v>31</v>
      </c>
      <c r="AW337">
        <v>8</v>
      </c>
      <c r="AX337" t="s">
        <v>74</v>
      </c>
      <c r="AY337" t="s">
        <v>74</v>
      </c>
      <c r="AZ337" t="s">
        <v>74</v>
      </c>
      <c r="BA337" t="s">
        <v>74</v>
      </c>
      <c r="BB337">
        <v>893</v>
      </c>
      <c r="BC337">
        <v>904</v>
      </c>
      <c r="BD337" t="s">
        <v>74</v>
      </c>
      <c r="BE337" t="s">
        <v>2894</v>
      </c>
      <c r="BF337" t="str">
        <f>HYPERLINK("http://dx.doi.org/10.1007/s00300-008-0427-y","http://dx.doi.org/10.1007/s00300-008-0427-y")</f>
        <v>http://dx.doi.org/10.1007/s00300-008-0427-y</v>
      </c>
      <c r="BG337" t="s">
        <v>74</v>
      </c>
      <c r="BH337" t="s">
        <v>74</v>
      </c>
      <c r="BI337">
        <v>12</v>
      </c>
      <c r="BJ337" t="s">
        <v>2895</v>
      </c>
      <c r="BK337" t="s">
        <v>419</v>
      </c>
      <c r="BL337" t="s">
        <v>2896</v>
      </c>
      <c r="BM337" t="s">
        <v>2897</v>
      </c>
      <c r="BN337" t="s">
        <v>74</v>
      </c>
      <c r="BO337" t="s">
        <v>74</v>
      </c>
      <c r="BP337" t="s">
        <v>74</v>
      </c>
      <c r="BQ337" t="s">
        <v>74</v>
      </c>
      <c r="BR337" t="s">
        <v>101</v>
      </c>
      <c r="BS337" t="s">
        <v>2898</v>
      </c>
      <c r="BT337" t="str">
        <f>HYPERLINK("https%3A%2F%2Fwww.webofscience.com%2Fwos%2Fwoscc%2Ffull-record%2FWOS:000256477300001","View Full Record in Web of Science")</f>
        <v>View Full Record in Web of Science</v>
      </c>
    </row>
    <row r="338" spans="1:72" x14ac:dyDescent="0.15">
      <c r="A338" t="s">
        <v>72</v>
      </c>
      <c r="B338" t="s">
        <v>2899</v>
      </c>
      <c r="C338" t="s">
        <v>74</v>
      </c>
      <c r="D338" t="s">
        <v>74</v>
      </c>
      <c r="E338" t="s">
        <v>74</v>
      </c>
      <c r="F338" t="s">
        <v>2900</v>
      </c>
      <c r="G338" t="s">
        <v>74</v>
      </c>
      <c r="H338" t="s">
        <v>74</v>
      </c>
      <c r="I338" t="s">
        <v>2901</v>
      </c>
      <c r="J338" t="s">
        <v>2883</v>
      </c>
      <c r="K338" t="s">
        <v>74</v>
      </c>
      <c r="L338" t="s">
        <v>74</v>
      </c>
      <c r="M338" t="s">
        <v>78</v>
      </c>
      <c r="N338" t="s">
        <v>2737</v>
      </c>
      <c r="O338" t="s">
        <v>74</v>
      </c>
      <c r="P338" t="s">
        <v>74</v>
      </c>
      <c r="Q338" t="s">
        <v>74</v>
      </c>
      <c r="R338" t="s">
        <v>74</v>
      </c>
      <c r="S338" t="s">
        <v>74</v>
      </c>
      <c r="T338" t="s">
        <v>74</v>
      </c>
      <c r="U338" t="s">
        <v>2902</v>
      </c>
      <c r="V338" t="s">
        <v>2903</v>
      </c>
      <c r="W338" t="s">
        <v>2904</v>
      </c>
      <c r="X338" t="s">
        <v>2905</v>
      </c>
      <c r="Y338" t="s">
        <v>2906</v>
      </c>
      <c r="Z338" t="s">
        <v>2907</v>
      </c>
      <c r="AA338" t="s">
        <v>2908</v>
      </c>
      <c r="AB338" t="s">
        <v>74</v>
      </c>
      <c r="AC338" t="s">
        <v>2909</v>
      </c>
      <c r="AD338" t="s">
        <v>2792</v>
      </c>
      <c r="AE338" t="s">
        <v>74</v>
      </c>
      <c r="AF338" t="s">
        <v>74</v>
      </c>
      <c r="AG338">
        <v>75</v>
      </c>
      <c r="AH338">
        <v>8</v>
      </c>
      <c r="AI338">
        <v>10</v>
      </c>
      <c r="AJ338">
        <v>0</v>
      </c>
      <c r="AK338">
        <v>21</v>
      </c>
      <c r="AL338" t="s">
        <v>2746</v>
      </c>
      <c r="AM338" t="s">
        <v>2747</v>
      </c>
      <c r="AN338" t="s">
        <v>2748</v>
      </c>
      <c r="AO338" t="s">
        <v>2891</v>
      </c>
      <c r="AP338" t="s">
        <v>74</v>
      </c>
      <c r="AQ338" t="s">
        <v>74</v>
      </c>
      <c r="AR338" t="s">
        <v>2892</v>
      </c>
      <c r="AS338" t="s">
        <v>2893</v>
      </c>
      <c r="AT338" t="s">
        <v>95</v>
      </c>
      <c r="AU338">
        <v>2008</v>
      </c>
      <c r="AV338">
        <v>31</v>
      </c>
      <c r="AW338">
        <v>8</v>
      </c>
      <c r="AX338" t="s">
        <v>74</v>
      </c>
      <c r="AY338" t="s">
        <v>74</v>
      </c>
      <c r="AZ338" t="s">
        <v>74</v>
      </c>
      <c r="BA338" t="s">
        <v>74</v>
      </c>
      <c r="BB338">
        <v>959</v>
      </c>
      <c r="BC338">
        <v>969</v>
      </c>
      <c r="BD338" t="s">
        <v>74</v>
      </c>
      <c r="BE338" t="s">
        <v>2910</v>
      </c>
      <c r="BF338" t="str">
        <f>HYPERLINK("http://dx.doi.org/10.1007/s00300-008-0436-x","http://dx.doi.org/10.1007/s00300-008-0436-x")</f>
        <v>http://dx.doi.org/10.1007/s00300-008-0436-x</v>
      </c>
      <c r="BG338" t="s">
        <v>74</v>
      </c>
      <c r="BH338" t="s">
        <v>74</v>
      </c>
      <c r="BI338">
        <v>11</v>
      </c>
      <c r="BJ338" t="s">
        <v>2895</v>
      </c>
      <c r="BK338" t="s">
        <v>419</v>
      </c>
      <c r="BL338" t="s">
        <v>2896</v>
      </c>
      <c r="BM338" t="s">
        <v>2897</v>
      </c>
      <c r="BN338" t="s">
        <v>74</v>
      </c>
      <c r="BO338" t="s">
        <v>74</v>
      </c>
      <c r="BP338" t="s">
        <v>74</v>
      </c>
      <c r="BQ338" t="s">
        <v>74</v>
      </c>
      <c r="BR338" t="s">
        <v>101</v>
      </c>
      <c r="BS338" t="s">
        <v>2911</v>
      </c>
      <c r="BT338" t="str">
        <f>HYPERLINK("https%3A%2F%2Fwww.webofscience.com%2Fwos%2Fwoscc%2Ffull-record%2FWOS:000256477300007","View Full Record in Web of Science")</f>
        <v>View Full Record in Web of Science</v>
      </c>
    </row>
    <row r="339" spans="1:72" x14ac:dyDescent="0.15">
      <c r="A339" t="s">
        <v>72</v>
      </c>
      <c r="B339" t="s">
        <v>2912</v>
      </c>
      <c r="C339" t="s">
        <v>74</v>
      </c>
      <c r="D339" t="s">
        <v>74</v>
      </c>
      <c r="E339" t="s">
        <v>74</v>
      </c>
      <c r="F339" t="s">
        <v>2913</v>
      </c>
      <c r="G339" t="s">
        <v>74</v>
      </c>
      <c r="H339" t="s">
        <v>74</v>
      </c>
      <c r="I339" t="s">
        <v>2914</v>
      </c>
      <c r="J339" t="s">
        <v>2883</v>
      </c>
      <c r="K339" t="s">
        <v>74</v>
      </c>
      <c r="L339" t="s">
        <v>74</v>
      </c>
      <c r="M339" t="s">
        <v>78</v>
      </c>
      <c r="N339" t="s">
        <v>2737</v>
      </c>
      <c r="O339" t="s">
        <v>74</v>
      </c>
      <c r="P339" t="s">
        <v>74</v>
      </c>
      <c r="Q339" t="s">
        <v>74</v>
      </c>
      <c r="R339" t="s">
        <v>74</v>
      </c>
      <c r="S339" t="s">
        <v>74</v>
      </c>
      <c r="T339" t="s">
        <v>2915</v>
      </c>
      <c r="U339" t="s">
        <v>2916</v>
      </c>
      <c r="V339" t="s">
        <v>2917</v>
      </c>
      <c r="W339" t="s">
        <v>2918</v>
      </c>
      <c r="X339" t="s">
        <v>2919</v>
      </c>
      <c r="Y339" t="s">
        <v>2920</v>
      </c>
      <c r="Z339" t="s">
        <v>2921</v>
      </c>
      <c r="AA339" t="s">
        <v>2922</v>
      </c>
      <c r="AB339" t="s">
        <v>2923</v>
      </c>
      <c r="AC339" t="s">
        <v>74</v>
      </c>
      <c r="AD339" t="s">
        <v>74</v>
      </c>
      <c r="AE339" t="s">
        <v>74</v>
      </c>
      <c r="AF339" t="s">
        <v>74</v>
      </c>
      <c r="AG339">
        <v>85</v>
      </c>
      <c r="AH339">
        <v>15</v>
      </c>
      <c r="AI339">
        <v>15</v>
      </c>
      <c r="AJ339">
        <v>0</v>
      </c>
      <c r="AK339">
        <v>13</v>
      </c>
      <c r="AL339" t="s">
        <v>2746</v>
      </c>
      <c r="AM339" t="s">
        <v>2747</v>
      </c>
      <c r="AN339" t="s">
        <v>2924</v>
      </c>
      <c r="AO339" t="s">
        <v>2891</v>
      </c>
      <c r="AP339" t="s">
        <v>2925</v>
      </c>
      <c r="AQ339" t="s">
        <v>74</v>
      </c>
      <c r="AR339" t="s">
        <v>2892</v>
      </c>
      <c r="AS339" t="s">
        <v>2893</v>
      </c>
      <c r="AT339" t="s">
        <v>95</v>
      </c>
      <c r="AU339">
        <v>2008</v>
      </c>
      <c r="AV339">
        <v>31</v>
      </c>
      <c r="AW339">
        <v>8</v>
      </c>
      <c r="AX339" t="s">
        <v>74</v>
      </c>
      <c r="AY339" t="s">
        <v>74</v>
      </c>
      <c r="AZ339" t="s">
        <v>74</v>
      </c>
      <c r="BA339" t="s">
        <v>74</v>
      </c>
      <c r="BB339">
        <v>971</v>
      </c>
      <c r="BC339">
        <v>989</v>
      </c>
      <c r="BD339" t="s">
        <v>74</v>
      </c>
      <c r="BE339" t="s">
        <v>2926</v>
      </c>
      <c r="BF339" t="str">
        <f>HYPERLINK("http://dx.doi.org/10.1007/s00300-008-0437-9","http://dx.doi.org/10.1007/s00300-008-0437-9")</f>
        <v>http://dx.doi.org/10.1007/s00300-008-0437-9</v>
      </c>
      <c r="BG339" t="s">
        <v>74</v>
      </c>
      <c r="BH339" t="s">
        <v>74</v>
      </c>
      <c r="BI339">
        <v>19</v>
      </c>
      <c r="BJ339" t="s">
        <v>2895</v>
      </c>
      <c r="BK339" t="s">
        <v>419</v>
      </c>
      <c r="BL339" t="s">
        <v>2896</v>
      </c>
      <c r="BM339" t="s">
        <v>2897</v>
      </c>
      <c r="BN339" t="s">
        <v>74</v>
      </c>
      <c r="BO339" t="s">
        <v>74</v>
      </c>
      <c r="BP339" t="s">
        <v>74</v>
      </c>
      <c r="BQ339" t="s">
        <v>74</v>
      </c>
      <c r="BR339" t="s">
        <v>101</v>
      </c>
      <c r="BS339" t="s">
        <v>2927</v>
      </c>
      <c r="BT339" t="str">
        <f>HYPERLINK("https%3A%2F%2Fwww.webofscience.com%2Fwos%2Fwoscc%2Ffull-record%2FWOS:000256477300008","View Full Record in Web of Science")</f>
        <v>View Full Record in Web of Science</v>
      </c>
    </row>
    <row r="340" spans="1:72" x14ac:dyDescent="0.15">
      <c r="A340" t="s">
        <v>72</v>
      </c>
      <c r="B340" t="s">
        <v>2928</v>
      </c>
      <c r="C340" t="s">
        <v>74</v>
      </c>
      <c r="D340" t="s">
        <v>74</v>
      </c>
      <c r="E340" t="s">
        <v>74</v>
      </c>
      <c r="F340" t="s">
        <v>2929</v>
      </c>
      <c r="G340" t="s">
        <v>74</v>
      </c>
      <c r="H340" t="s">
        <v>74</v>
      </c>
      <c r="I340" t="s">
        <v>2930</v>
      </c>
      <c r="J340" t="s">
        <v>2883</v>
      </c>
      <c r="K340" t="s">
        <v>74</v>
      </c>
      <c r="L340" t="s">
        <v>74</v>
      </c>
      <c r="M340" t="s">
        <v>78</v>
      </c>
      <c r="N340" t="s">
        <v>2737</v>
      </c>
      <c r="O340" t="s">
        <v>74</v>
      </c>
      <c r="P340" t="s">
        <v>74</v>
      </c>
      <c r="Q340" t="s">
        <v>74</v>
      </c>
      <c r="R340" t="s">
        <v>74</v>
      </c>
      <c r="S340" t="s">
        <v>74</v>
      </c>
      <c r="T340" t="s">
        <v>2931</v>
      </c>
      <c r="U340" t="s">
        <v>2932</v>
      </c>
      <c r="V340" t="s">
        <v>2933</v>
      </c>
      <c r="W340" t="s">
        <v>2934</v>
      </c>
      <c r="X340" t="s">
        <v>2935</v>
      </c>
      <c r="Y340" t="s">
        <v>2936</v>
      </c>
      <c r="Z340" t="s">
        <v>2937</v>
      </c>
      <c r="AA340" t="s">
        <v>74</v>
      </c>
      <c r="AB340" t="s">
        <v>74</v>
      </c>
      <c r="AC340" t="s">
        <v>74</v>
      </c>
      <c r="AD340" t="s">
        <v>74</v>
      </c>
      <c r="AE340" t="s">
        <v>74</v>
      </c>
      <c r="AF340" t="s">
        <v>74</v>
      </c>
      <c r="AG340">
        <v>47</v>
      </c>
      <c r="AH340">
        <v>25</v>
      </c>
      <c r="AI340">
        <v>27</v>
      </c>
      <c r="AJ340">
        <v>0</v>
      </c>
      <c r="AK340">
        <v>18</v>
      </c>
      <c r="AL340" t="s">
        <v>2746</v>
      </c>
      <c r="AM340" t="s">
        <v>2747</v>
      </c>
      <c r="AN340" t="s">
        <v>2748</v>
      </c>
      <c r="AO340" t="s">
        <v>2891</v>
      </c>
      <c r="AP340" t="s">
        <v>74</v>
      </c>
      <c r="AQ340" t="s">
        <v>74</v>
      </c>
      <c r="AR340" t="s">
        <v>2892</v>
      </c>
      <c r="AS340" t="s">
        <v>2893</v>
      </c>
      <c r="AT340" t="s">
        <v>95</v>
      </c>
      <c r="AU340">
        <v>2008</v>
      </c>
      <c r="AV340">
        <v>31</v>
      </c>
      <c r="AW340">
        <v>8</v>
      </c>
      <c r="AX340" t="s">
        <v>74</v>
      </c>
      <c r="AY340" t="s">
        <v>74</v>
      </c>
      <c r="AZ340" t="s">
        <v>74</v>
      </c>
      <c r="BA340" t="s">
        <v>74</v>
      </c>
      <c r="BB340">
        <v>991</v>
      </c>
      <c r="BC340">
        <v>997</v>
      </c>
      <c r="BD340" t="s">
        <v>74</v>
      </c>
      <c r="BE340" t="s">
        <v>2938</v>
      </c>
      <c r="BF340" t="str">
        <f>HYPERLINK("http://dx.doi.org/10.1007/s00300-008-0438-8","http://dx.doi.org/10.1007/s00300-008-0438-8")</f>
        <v>http://dx.doi.org/10.1007/s00300-008-0438-8</v>
      </c>
      <c r="BG340" t="s">
        <v>74</v>
      </c>
      <c r="BH340" t="s">
        <v>74</v>
      </c>
      <c r="BI340">
        <v>7</v>
      </c>
      <c r="BJ340" t="s">
        <v>2895</v>
      </c>
      <c r="BK340" t="s">
        <v>419</v>
      </c>
      <c r="BL340" t="s">
        <v>2896</v>
      </c>
      <c r="BM340" t="s">
        <v>2897</v>
      </c>
      <c r="BN340" t="s">
        <v>74</v>
      </c>
      <c r="BO340" t="s">
        <v>74</v>
      </c>
      <c r="BP340" t="s">
        <v>74</v>
      </c>
      <c r="BQ340" t="s">
        <v>74</v>
      </c>
      <c r="BR340" t="s">
        <v>101</v>
      </c>
      <c r="BS340" t="s">
        <v>2939</v>
      </c>
      <c r="BT340" t="str">
        <f>HYPERLINK("https%3A%2F%2Fwww.webofscience.com%2Fwos%2Fwoscc%2Ffull-record%2FWOS:000256477300009","View Full Record in Web of Science")</f>
        <v>View Full Record in Web of Science</v>
      </c>
    </row>
    <row r="341" spans="1:72" x14ac:dyDescent="0.15">
      <c r="A341" t="s">
        <v>72</v>
      </c>
      <c r="B341" t="s">
        <v>2940</v>
      </c>
      <c r="C341" t="s">
        <v>74</v>
      </c>
      <c r="D341" t="s">
        <v>74</v>
      </c>
      <c r="E341" t="s">
        <v>74</v>
      </c>
      <c r="F341" t="s">
        <v>2941</v>
      </c>
      <c r="G341" t="s">
        <v>74</v>
      </c>
      <c r="H341" t="s">
        <v>74</v>
      </c>
      <c r="I341" t="s">
        <v>2942</v>
      </c>
      <c r="J341" t="s">
        <v>2883</v>
      </c>
      <c r="K341" t="s">
        <v>74</v>
      </c>
      <c r="L341" t="s">
        <v>74</v>
      </c>
      <c r="M341" t="s">
        <v>78</v>
      </c>
      <c r="N341" t="s">
        <v>2737</v>
      </c>
      <c r="O341" t="s">
        <v>74</v>
      </c>
      <c r="P341" t="s">
        <v>74</v>
      </c>
      <c r="Q341" t="s">
        <v>74</v>
      </c>
      <c r="R341" t="s">
        <v>74</v>
      </c>
      <c r="S341" t="s">
        <v>74</v>
      </c>
      <c r="T341" t="s">
        <v>2943</v>
      </c>
      <c r="U341" t="s">
        <v>2944</v>
      </c>
      <c r="V341" t="s">
        <v>2945</v>
      </c>
      <c r="W341" t="s">
        <v>2946</v>
      </c>
      <c r="X341" t="s">
        <v>2947</v>
      </c>
      <c r="Y341" t="s">
        <v>2948</v>
      </c>
      <c r="Z341" t="s">
        <v>2949</v>
      </c>
      <c r="AA341" t="s">
        <v>2950</v>
      </c>
      <c r="AB341" t="s">
        <v>2951</v>
      </c>
      <c r="AC341" t="s">
        <v>74</v>
      </c>
      <c r="AD341" t="s">
        <v>74</v>
      </c>
      <c r="AE341" t="s">
        <v>74</v>
      </c>
      <c r="AF341" t="s">
        <v>74</v>
      </c>
      <c r="AG341">
        <v>22</v>
      </c>
      <c r="AH341">
        <v>26</v>
      </c>
      <c r="AI341">
        <v>26</v>
      </c>
      <c r="AJ341">
        <v>0</v>
      </c>
      <c r="AK341">
        <v>8</v>
      </c>
      <c r="AL341" t="s">
        <v>2746</v>
      </c>
      <c r="AM341" t="s">
        <v>2747</v>
      </c>
      <c r="AN341" t="s">
        <v>2924</v>
      </c>
      <c r="AO341" t="s">
        <v>2891</v>
      </c>
      <c r="AP341" t="s">
        <v>2925</v>
      </c>
      <c r="AQ341" t="s">
        <v>74</v>
      </c>
      <c r="AR341" t="s">
        <v>2892</v>
      </c>
      <c r="AS341" t="s">
        <v>2893</v>
      </c>
      <c r="AT341" t="s">
        <v>95</v>
      </c>
      <c r="AU341">
        <v>2008</v>
      </c>
      <c r="AV341">
        <v>31</v>
      </c>
      <c r="AW341">
        <v>8</v>
      </c>
      <c r="AX341" t="s">
        <v>74</v>
      </c>
      <c r="AY341" t="s">
        <v>74</v>
      </c>
      <c r="AZ341" t="s">
        <v>74</v>
      </c>
      <c r="BA341" t="s">
        <v>74</v>
      </c>
      <c r="BB341">
        <v>1011</v>
      </c>
      <c r="BC341">
        <v>1015</v>
      </c>
      <c r="BD341" t="s">
        <v>74</v>
      </c>
      <c r="BE341" t="s">
        <v>2952</v>
      </c>
      <c r="BF341" t="str">
        <f>HYPERLINK("http://dx.doi.org/10.1007/s00300-008-0433-0","http://dx.doi.org/10.1007/s00300-008-0433-0")</f>
        <v>http://dx.doi.org/10.1007/s00300-008-0433-0</v>
      </c>
      <c r="BG341" t="s">
        <v>74</v>
      </c>
      <c r="BH341" t="s">
        <v>74</v>
      </c>
      <c r="BI341">
        <v>5</v>
      </c>
      <c r="BJ341" t="s">
        <v>2895</v>
      </c>
      <c r="BK341" t="s">
        <v>419</v>
      </c>
      <c r="BL341" t="s">
        <v>2896</v>
      </c>
      <c r="BM341" t="s">
        <v>2897</v>
      </c>
      <c r="BN341" t="s">
        <v>74</v>
      </c>
      <c r="BO341" t="s">
        <v>74</v>
      </c>
      <c r="BP341" t="s">
        <v>74</v>
      </c>
      <c r="BQ341" t="s">
        <v>74</v>
      </c>
      <c r="BR341" t="s">
        <v>101</v>
      </c>
      <c r="BS341" t="s">
        <v>2953</v>
      </c>
      <c r="BT341" t="str">
        <f>HYPERLINK("https%3A%2F%2Fwww.webofscience.com%2Fwos%2Fwoscc%2Ffull-record%2FWOS:000256477300011","View Full Record in Web of Science")</f>
        <v>View Full Record in Web of Science</v>
      </c>
    </row>
    <row r="342" spans="1:72" x14ac:dyDescent="0.15">
      <c r="A342" t="s">
        <v>72</v>
      </c>
      <c r="B342" t="s">
        <v>2954</v>
      </c>
      <c r="C342" t="s">
        <v>74</v>
      </c>
      <c r="D342" t="s">
        <v>74</v>
      </c>
      <c r="E342" t="s">
        <v>74</v>
      </c>
      <c r="F342" t="s">
        <v>2955</v>
      </c>
      <c r="G342" t="s">
        <v>74</v>
      </c>
      <c r="H342" t="s">
        <v>74</v>
      </c>
      <c r="I342" t="s">
        <v>2956</v>
      </c>
      <c r="J342" t="s">
        <v>2957</v>
      </c>
      <c r="K342" t="s">
        <v>74</v>
      </c>
      <c r="L342" t="s">
        <v>74</v>
      </c>
      <c r="M342" t="s">
        <v>78</v>
      </c>
      <c r="N342" t="s">
        <v>2958</v>
      </c>
      <c r="O342" t="s">
        <v>74</v>
      </c>
      <c r="P342" t="s">
        <v>74</v>
      </c>
      <c r="Q342" t="s">
        <v>74</v>
      </c>
      <c r="R342" t="s">
        <v>74</v>
      </c>
      <c r="S342" t="s">
        <v>74</v>
      </c>
      <c r="T342" t="s">
        <v>74</v>
      </c>
      <c r="U342" t="s">
        <v>2959</v>
      </c>
      <c r="V342" t="s">
        <v>2960</v>
      </c>
      <c r="W342" t="s">
        <v>2961</v>
      </c>
      <c r="X342" t="s">
        <v>2962</v>
      </c>
      <c r="Y342" t="s">
        <v>2963</v>
      </c>
      <c r="Z342" t="s">
        <v>74</v>
      </c>
      <c r="AA342" t="s">
        <v>74</v>
      </c>
      <c r="AB342" t="s">
        <v>74</v>
      </c>
      <c r="AC342" t="s">
        <v>74</v>
      </c>
      <c r="AD342" t="s">
        <v>74</v>
      </c>
      <c r="AE342" t="s">
        <v>74</v>
      </c>
      <c r="AF342" t="s">
        <v>74</v>
      </c>
      <c r="AG342">
        <v>105</v>
      </c>
      <c r="AH342">
        <v>28</v>
      </c>
      <c r="AI342">
        <v>31</v>
      </c>
      <c r="AJ342">
        <v>3</v>
      </c>
      <c r="AK342">
        <v>55</v>
      </c>
      <c r="AL342" t="s">
        <v>2964</v>
      </c>
      <c r="AM342" t="s">
        <v>2747</v>
      </c>
      <c r="AN342" t="s">
        <v>2965</v>
      </c>
      <c r="AO342" t="s">
        <v>2966</v>
      </c>
      <c r="AP342" t="s">
        <v>2967</v>
      </c>
      <c r="AQ342" t="s">
        <v>74</v>
      </c>
      <c r="AR342" t="s">
        <v>2968</v>
      </c>
      <c r="AS342" t="s">
        <v>2969</v>
      </c>
      <c r="AT342" t="s">
        <v>95</v>
      </c>
      <c r="AU342">
        <v>2008</v>
      </c>
      <c r="AV342">
        <v>44</v>
      </c>
      <c r="AW342">
        <v>230</v>
      </c>
      <c r="AX342" t="s">
        <v>74</v>
      </c>
      <c r="AY342" t="s">
        <v>74</v>
      </c>
      <c r="AZ342" t="s">
        <v>74</v>
      </c>
      <c r="BA342" t="s">
        <v>74</v>
      </c>
      <c r="BB342">
        <v>211</v>
      </c>
      <c r="BC342">
        <v>226</v>
      </c>
      <c r="BD342" t="s">
        <v>74</v>
      </c>
      <c r="BE342" t="s">
        <v>2970</v>
      </c>
      <c r="BF342" t="str">
        <f>HYPERLINK("http://dx.doi.org/10.1017/S0032247407007218","http://dx.doi.org/10.1017/S0032247407007218")</f>
        <v>http://dx.doi.org/10.1017/S0032247407007218</v>
      </c>
      <c r="BG342" t="s">
        <v>74</v>
      </c>
      <c r="BH342" t="s">
        <v>74</v>
      </c>
      <c r="BI342">
        <v>16</v>
      </c>
      <c r="BJ342" t="s">
        <v>2971</v>
      </c>
      <c r="BK342" t="s">
        <v>419</v>
      </c>
      <c r="BL342" t="s">
        <v>2972</v>
      </c>
      <c r="BM342" t="s">
        <v>2973</v>
      </c>
      <c r="BN342" t="s">
        <v>74</v>
      </c>
      <c r="BO342" t="s">
        <v>74</v>
      </c>
      <c r="BP342" t="s">
        <v>74</v>
      </c>
      <c r="BQ342" t="s">
        <v>74</v>
      </c>
      <c r="BR342" t="s">
        <v>101</v>
      </c>
      <c r="BS342" t="s">
        <v>2974</v>
      </c>
      <c r="BT342" t="str">
        <f>HYPERLINK("https%3A%2F%2Fwww.webofscience.com%2Fwos%2Fwoscc%2Ffull-record%2FWOS:000257222300002","View Full Record in Web of Science")</f>
        <v>View Full Record in Web of Science</v>
      </c>
    </row>
    <row r="343" spans="1:72" x14ac:dyDescent="0.15">
      <c r="A343" t="s">
        <v>72</v>
      </c>
      <c r="B343" t="s">
        <v>2975</v>
      </c>
      <c r="C343" t="s">
        <v>74</v>
      </c>
      <c r="D343" t="s">
        <v>74</v>
      </c>
      <c r="E343" t="s">
        <v>74</v>
      </c>
      <c r="F343" t="s">
        <v>2976</v>
      </c>
      <c r="G343" t="s">
        <v>74</v>
      </c>
      <c r="H343" t="s">
        <v>74</v>
      </c>
      <c r="I343" t="s">
        <v>2977</v>
      </c>
      <c r="J343" t="s">
        <v>2957</v>
      </c>
      <c r="K343" t="s">
        <v>74</v>
      </c>
      <c r="L343" t="s">
        <v>74</v>
      </c>
      <c r="M343" t="s">
        <v>78</v>
      </c>
      <c r="N343" t="s">
        <v>2737</v>
      </c>
      <c r="O343" t="s">
        <v>74</v>
      </c>
      <c r="P343" t="s">
        <v>74</v>
      </c>
      <c r="Q343" t="s">
        <v>74</v>
      </c>
      <c r="R343" t="s">
        <v>74</v>
      </c>
      <c r="S343" t="s">
        <v>74</v>
      </c>
      <c r="T343" t="s">
        <v>74</v>
      </c>
      <c r="U343" t="s">
        <v>2978</v>
      </c>
      <c r="V343" t="s">
        <v>2979</v>
      </c>
      <c r="W343" t="s">
        <v>2980</v>
      </c>
      <c r="X343" t="s">
        <v>2981</v>
      </c>
      <c r="Y343" t="s">
        <v>2982</v>
      </c>
      <c r="Z343" t="s">
        <v>74</v>
      </c>
      <c r="AA343" t="s">
        <v>74</v>
      </c>
      <c r="AB343" t="s">
        <v>74</v>
      </c>
      <c r="AC343" t="s">
        <v>74</v>
      </c>
      <c r="AD343" t="s">
        <v>74</v>
      </c>
      <c r="AE343" t="s">
        <v>74</v>
      </c>
      <c r="AF343" t="s">
        <v>74</v>
      </c>
      <c r="AG343">
        <v>65</v>
      </c>
      <c r="AH343">
        <v>51</v>
      </c>
      <c r="AI343">
        <v>60</v>
      </c>
      <c r="AJ343">
        <v>0</v>
      </c>
      <c r="AK343">
        <v>29</v>
      </c>
      <c r="AL343" t="s">
        <v>2964</v>
      </c>
      <c r="AM343" t="s">
        <v>2747</v>
      </c>
      <c r="AN343" t="s">
        <v>2965</v>
      </c>
      <c r="AO343" t="s">
        <v>2966</v>
      </c>
      <c r="AP343" t="s">
        <v>2967</v>
      </c>
      <c r="AQ343" t="s">
        <v>74</v>
      </c>
      <c r="AR343" t="s">
        <v>2968</v>
      </c>
      <c r="AS343" t="s">
        <v>2969</v>
      </c>
      <c r="AT343" t="s">
        <v>95</v>
      </c>
      <c r="AU343">
        <v>2008</v>
      </c>
      <c r="AV343">
        <v>44</v>
      </c>
      <c r="AW343">
        <v>230</v>
      </c>
      <c r="AX343" t="s">
        <v>74</v>
      </c>
      <c r="AY343" t="s">
        <v>74</v>
      </c>
      <c r="AZ343" t="s">
        <v>74</v>
      </c>
      <c r="BA343" t="s">
        <v>74</v>
      </c>
      <c r="BB343">
        <v>233</v>
      </c>
      <c r="BC343">
        <v>241</v>
      </c>
      <c r="BD343" t="s">
        <v>74</v>
      </c>
      <c r="BE343" t="s">
        <v>2983</v>
      </c>
      <c r="BF343" t="str">
        <f>HYPERLINK("http://dx.doi.org/10.1017/S0032247408007456","http://dx.doi.org/10.1017/S0032247408007456")</f>
        <v>http://dx.doi.org/10.1017/S0032247408007456</v>
      </c>
      <c r="BG343" t="s">
        <v>74</v>
      </c>
      <c r="BH343" t="s">
        <v>74</v>
      </c>
      <c r="BI343">
        <v>9</v>
      </c>
      <c r="BJ343" t="s">
        <v>2971</v>
      </c>
      <c r="BK343" t="s">
        <v>2984</v>
      </c>
      <c r="BL343" t="s">
        <v>2972</v>
      </c>
      <c r="BM343" t="s">
        <v>2973</v>
      </c>
      <c r="BN343" t="s">
        <v>74</v>
      </c>
      <c r="BO343" t="s">
        <v>74</v>
      </c>
      <c r="BP343" t="s">
        <v>74</v>
      </c>
      <c r="BQ343" t="s">
        <v>74</v>
      </c>
      <c r="BR343" t="s">
        <v>101</v>
      </c>
      <c r="BS343" t="s">
        <v>2985</v>
      </c>
      <c r="BT343" t="str">
        <f>HYPERLINK("https%3A%2F%2Fwww.webofscience.com%2Fwos%2Fwoscc%2Ffull-record%2FWOS:000257222300004","View Full Record in Web of Science")</f>
        <v>View Full Record in Web of Science</v>
      </c>
    </row>
    <row r="344" spans="1:72" x14ac:dyDescent="0.15">
      <c r="A344" t="s">
        <v>72</v>
      </c>
      <c r="B344" t="s">
        <v>2986</v>
      </c>
      <c r="C344" t="s">
        <v>74</v>
      </c>
      <c r="D344" t="s">
        <v>74</v>
      </c>
      <c r="E344" t="s">
        <v>74</v>
      </c>
      <c r="F344" t="s">
        <v>2987</v>
      </c>
      <c r="G344" t="s">
        <v>74</v>
      </c>
      <c r="H344" t="s">
        <v>74</v>
      </c>
      <c r="I344" t="s">
        <v>2988</v>
      </c>
      <c r="J344" t="s">
        <v>2957</v>
      </c>
      <c r="K344" t="s">
        <v>74</v>
      </c>
      <c r="L344" t="s">
        <v>74</v>
      </c>
      <c r="M344" t="s">
        <v>78</v>
      </c>
      <c r="N344" t="s">
        <v>2989</v>
      </c>
      <c r="O344" t="s">
        <v>74</v>
      </c>
      <c r="P344" t="s">
        <v>74</v>
      </c>
      <c r="Q344" t="s">
        <v>74</v>
      </c>
      <c r="R344" t="s">
        <v>74</v>
      </c>
      <c r="S344" t="s">
        <v>74</v>
      </c>
      <c r="T344" t="s">
        <v>74</v>
      </c>
      <c r="U344" t="s">
        <v>74</v>
      </c>
      <c r="V344" t="s">
        <v>2990</v>
      </c>
      <c r="W344" t="s">
        <v>2991</v>
      </c>
      <c r="X344" t="s">
        <v>74</v>
      </c>
      <c r="Y344" t="s">
        <v>2992</v>
      </c>
      <c r="Z344" t="s">
        <v>74</v>
      </c>
      <c r="AA344" t="s">
        <v>74</v>
      </c>
      <c r="AB344" t="s">
        <v>74</v>
      </c>
      <c r="AC344" t="s">
        <v>74</v>
      </c>
      <c r="AD344" t="s">
        <v>74</v>
      </c>
      <c r="AE344" t="s">
        <v>74</v>
      </c>
      <c r="AF344" t="s">
        <v>74</v>
      </c>
      <c r="AG344">
        <v>3</v>
      </c>
      <c r="AH344">
        <v>1</v>
      </c>
      <c r="AI344">
        <v>1</v>
      </c>
      <c r="AJ344">
        <v>0</v>
      </c>
      <c r="AK344">
        <v>0</v>
      </c>
      <c r="AL344" t="s">
        <v>2964</v>
      </c>
      <c r="AM344" t="s">
        <v>2747</v>
      </c>
      <c r="AN344" t="s">
        <v>2965</v>
      </c>
      <c r="AO344" t="s">
        <v>2966</v>
      </c>
      <c r="AP344" t="s">
        <v>74</v>
      </c>
      <c r="AQ344" t="s">
        <v>74</v>
      </c>
      <c r="AR344" t="s">
        <v>2968</v>
      </c>
      <c r="AS344" t="s">
        <v>2969</v>
      </c>
      <c r="AT344" t="s">
        <v>95</v>
      </c>
      <c r="AU344">
        <v>2008</v>
      </c>
      <c r="AV344">
        <v>44</v>
      </c>
      <c r="AW344">
        <v>230</v>
      </c>
      <c r="AX344" t="s">
        <v>74</v>
      </c>
      <c r="AY344" t="s">
        <v>74</v>
      </c>
      <c r="AZ344" t="s">
        <v>74</v>
      </c>
      <c r="BA344" t="s">
        <v>74</v>
      </c>
      <c r="BB344">
        <v>277</v>
      </c>
      <c r="BC344">
        <v>280</v>
      </c>
      <c r="BD344" t="s">
        <v>74</v>
      </c>
      <c r="BE344" t="s">
        <v>2993</v>
      </c>
      <c r="BF344" t="str">
        <f>HYPERLINK("http://dx.doi.org/10.1017/S0032247408007717","http://dx.doi.org/10.1017/S0032247408007717")</f>
        <v>http://dx.doi.org/10.1017/S0032247408007717</v>
      </c>
      <c r="BG344" t="s">
        <v>74</v>
      </c>
      <c r="BH344" t="s">
        <v>74</v>
      </c>
      <c r="BI344">
        <v>4</v>
      </c>
      <c r="BJ344" t="s">
        <v>2971</v>
      </c>
      <c r="BK344" t="s">
        <v>419</v>
      </c>
      <c r="BL344" t="s">
        <v>2972</v>
      </c>
      <c r="BM344" t="s">
        <v>2973</v>
      </c>
      <c r="BN344" t="s">
        <v>74</v>
      </c>
      <c r="BO344" t="s">
        <v>74</v>
      </c>
      <c r="BP344" t="s">
        <v>74</v>
      </c>
      <c r="BQ344" t="s">
        <v>74</v>
      </c>
      <c r="BR344" t="s">
        <v>101</v>
      </c>
      <c r="BS344" t="s">
        <v>2994</v>
      </c>
      <c r="BT344" t="str">
        <f>HYPERLINK("https%3A%2F%2Fwww.webofscience.com%2Fwos%2Fwoscc%2Ffull-record%2FWOS:000257222300009","View Full Record in Web of Science")</f>
        <v>View Full Record in Web of Science</v>
      </c>
    </row>
    <row r="345" spans="1:72" x14ac:dyDescent="0.15">
      <c r="A345" t="s">
        <v>72</v>
      </c>
      <c r="B345" t="s">
        <v>2995</v>
      </c>
      <c r="C345" t="s">
        <v>74</v>
      </c>
      <c r="D345" t="s">
        <v>74</v>
      </c>
      <c r="E345" t="s">
        <v>74</v>
      </c>
      <c r="F345" t="s">
        <v>2996</v>
      </c>
      <c r="G345" t="s">
        <v>74</v>
      </c>
      <c r="H345" t="s">
        <v>74</v>
      </c>
      <c r="I345" t="s">
        <v>2997</v>
      </c>
      <c r="J345" t="s">
        <v>2998</v>
      </c>
      <c r="K345" t="s">
        <v>74</v>
      </c>
      <c r="L345" t="s">
        <v>74</v>
      </c>
      <c r="M345" t="s">
        <v>78</v>
      </c>
      <c r="N345" t="s">
        <v>2737</v>
      </c>
      <c r="O345" t="s">
        <v>74</v>
      </c>
      <c r="P345" t="s">
        <v>74</v>
      </c>
      <c r="Q345" t="s">
        <v>74</v>
      </c>
      <c r="R345" t="s">
        <v>74</v>
      </c>
      <c r="S345" t="s">
        <v>74</v>
      </c>
      <c r="T345" t="s">
        <v>74</v>
      </c>
      <c r="U345" t="s">
        <v>2999</v>
      </c>
      <c r="V345" t="s">
        <v>3000</v>
      </c>
      <c r="W345" t="s">
        <v>3001</v>
      </c>
      <c r="X345" t="s">
        <v>3002</v>
      </c>
      <c r="Y345" t="s">
        <v>3003</v>
      </c>
      <c r="Z345" t="s">
        <v>3004</v>
      </c>
      <c r="AA345" t="s">
        <v>3005</v>
      </c>
      <c r="AB345" t="s">
        <v>3006</v>
      </c>
      <c r="AC345" t="s">
        <v>74</v>
      </c>
      <c r="AD345" t="s">
        <v>74</v>
      </c>
      <c r="AE345" t="s">
        <v>74</v>
      </c>
      <c r="AF345" t="s">
        <v>74</v>
      </c>
      <c r="AG345">
        <v>56</v>
      </c>
      <c r="AH345">
        <v>101</v>
      </c>
      <c r="AI345">
        <v>115</v>
      </c>
      <c r="AJ345">
        <v>0</v>
      </c>
      <c r="AK345">
        <v>66</v>
      </c>
      <c r="AL345" t="s">
        <v>3007</v>
      </c>
      <c r="AM345" t="s">
        <v>3008</v>
      </c>
      <c r="AN345" t="s">
        <v>3009</v>
      </c>
      <c r="AO345" t="s">
        <v>3010</v>
      </c>
      <c r="AP345" t="s">
        <v>74</v>
      </c>
      <c r="AQ345" t="s">
        <v>74</v>
      </c>
      <c r="AR345" t="s">
        <v>3011</v>
      </c>
      <c r="AS345" t="s">
        <v>3012</v>
      </c>
      <c r="AT345" t="s">
        <v>95</v>
      </c>
      <c r="AU345">
        <v>2008</v>
      </c>
      <c r="AV345">
        <v>27</v>
      </c>
      <c r="AW345" t="s">
        <v>3013</v>
      </c>
      <c r="AX345" t="s">
        <v>74</v>
      </c>
      <c r="AY345" t="s">
        <v>74</v>
      </c>
      <c r="AZ345" t="s">
        <v>74</v>
      </c>
      <c r="BA345" t="s">
        <v>74</v>
      </c>
      <c r="BB345">
        <v>1335</v>
      </c>
      <c r="BC345">
        <v>1349</v>
      </c>
      <c r="BD345" t="s">
        <v>74</v>
      </c>
      <c r="BE345" t="s">
        <v>3014</v>
      </c>
      <c r="BF345" t="str">
        <f>HYPERLINK("http://dx.doi.org/10.1016/j.quascirev.2008.03.006","http://dx.doi.org/10.1016/j.quascirev.2008.03.006")</f>
        <v>http://dx.doi.org/10.1016/j.quascirev.2008.03.006</v>
      </c>
      <c r="BG345" t="s">
        <v>74</v>
      </c>
      <c r="BH345" t="s">
        <v>74</v>
      </c>
      <c r="BI345">
        <v>15</v>
      </c>
      <c r="BJ345" t="s">
        <v>3015</v>
      </c>
      <c r="BK345" t="s">
        <v>419</v>
      </c>
      <c r="BL345" t="s">
        <v>3016</v>
      </c>
      <c r="BM345" t="s">
        <v>3017</v>
      </c>
      <c r="BN345" t="s">
        <v>74</v>
      </c>
      <c r="BO345" t="s">
        <v>74</v>
      </c>
      <c r="BP345" t="s">
        <v>74</v>
      </c>
      <c r="BQ345" t="s">
        <v>74</v>
      </c>
      <c r="BR345" t="s">
        <v>101</v>
      </c>
      <c r="BS345" t="s">
        <v>3018</v>
      </c>
      <c r="BT345" t="str">
        <f>HYPERLINK("https%3A%2F%2Fwww.webofscience.com%2Fwos%2Fwoscc%2Ffull-record%2FWOS:000257604000004","View Full Record in Web of Science")</f>
        <v>View Full Record in Web of Science</v>
      </c>
    </row>
    <row r="346" spans="1:72" x14ac:dyDescent="0.15">
      <c r="A346" t="s">
        <v>72</v>
      </c>
      <c r="B346" t="s">
        <v>3019</v>
      </c>
      <c r="C346" t="s">
        <v>74</v>
      </c>
      <c r="D346" t="s">
        <v>74</v>
      </c>
      <c r="E346" t="s">
        <v>74</v>
      </c>
      <c r="F346" t="s">
        <v>3020</v>
      </c>
      <c r="G346" t="s">
        <v>74</v>
      </c>
      <c r="H346" t="s">
        <v>74</v>
      </c>
      <c r="I346" t="s">
        <v>3021</v>
      </c>
      <c r="J346" t="s">
        <v>2998</v>
      </c>
      <c r="K346" t="s">
        <v>74</v>
      </c>
      <c r="L346" t="s">
        <v>74</v>
      </c>
      <c r="M346" t="s">
        <v>78</v>
      </c>
      <c r="N346" t="s">
        <v>2737</v>
      </c>
      <c r="O346" t="s">
        <v>74</v>
      </c>
      <c r="P346" t="s">
        <v>74</v>
      </c>
      <c r="Q346" t="s">
        <v>74</v>
      </c>
      <c r="R346" t="s">
        <v>74</v>
      </c>
      <c r="S346" t="s">
        <v>74</v>
      </c>
      <c r="T346" t="s">
        <v>74</v>
      </c>
      <c r="U346" t="s">
        <v>3022</v>
      </c>
      <c r="V346" t="s">
        <v>3023</v>
      </c>
      <c r="W346" t="s">
        <v>3024</v>
      </c>
      <c r="X346" t="s">
        <v>3025</v>
      </c>
      <c r="Y346" t="s">
        <v>3026</v>
      </c>
      <c r="Z346" t="s">
        <v>3027</v>
      </c>
      <c r="AA346" t="s">
        <v>3028</v>
      </c>
      <c r="AB346" t="s">
        <v>3029</v>
      </c>
      <c r="AC346" t="s">
        <v>3030</v>
      </c>
      <c r="AD346" t="s">
        <v>3031</v>
      </c>
      <c r="AE346" t="s">
        <v>74</v>
      </c>
      <c r="AF346" t="s">
        <v>74</v>
      </c>
      <c r="AG346">
        <v>64</v>
      </c>
      <c r="AH346">
        <v>87</v>
      </c>
      <c r="AI346">
        <v>90</v>
      </c>
      <c r="AJ346">
        <v>2</v>
      </c>
      <c r="AK346">
        <v>5</v>
      </c>
      <c r="AL346" t="s">
        <v>3007</v>
      </c>
      <c r="AM346" t="s">
        <v>3008</v>
      </c>
      <c r="AN346" t="s">
        <v>3009</v>
      </c>
      <c r="AO346" t="s">
        <v>3010</v>
      </c>
      <c r="AP346" t="s">
        <v>74</v>
      </c>
      <c r="AQ346" t="s">
        <v>74</v>
      </c>
      <c r="AR346" t="s">
        <v>3011</v>
      </c>
      <c r="AS346" t="s">
        <v>3012</v>
      </c>
      <c r="AT346" t="s">
        <v>95</v>
      </c>
      <c r="AU346">
        <v>2008</v>
      </c>
      <c r="AV346">
        <v>27</v>
      </c>
      <c r="AW346" t="s">
        <v>3013</v>
      </c>
      <c r="AX346" t="s">
        <v>74</v>
      </c>
      <c r="AY346" t="s">
        <v>74</v>
      </c>
      <c r="AZ346" t="s">
        <v>74</v>
      </c>
      <c r="BA346" t="s">
        <v>74</v>
      </c>
      <c r="BB346">
        <v>1350</v>
      </c>
      <c r="BC346">
        <v>1362</v>
      </c>
      <c r="BD346" t="s">
        <v>74</v>
      </c>
      <c r="BE346" t="s">
        <v>3032</v>
      </c>
      <c r="BF346" t="str">
        <f>HYPERLINK("http://dx.doi.org/10.1016/j.quascirev.2008.03.009","http://dx.doi.org/10.1016/j.quascirev.2008.03.009")</f>
        <v>http://dx.doi.org/10.1016/j.quascirev.2008.03.009</v>
      </c>
      <c r="BG346" t="s">
        <v>74</v>
      </c>
      <c r="BH346" t="s">
        <v>74</v>
      </c>
      <c r="BI346">
        <v>13</v>
      </c>
      <c r="BJ346" t="s">
        <v>3015</v>
      </c>
      <c r="BK346" t="s">
        <v>419</v>
      </c>
      <c r="BL346" t="s">
        <v>3016</v>
      </c>
      <c r="BM346" t="s">
        <v>3017</v>
      </c>
      <c r="BN346" t="s">
        <v>74</v>
      </c>
      <c r="BO346" t="s">
        <v>3033</v>
      </c>
      <c r="BP346" t="s">
        <v>74</v>
      </c>
      <c r="BQ346" t="s">
        <v>74</v>
      </c>
      <c r="BR346" t="s">
        <v>101</v>
      </c>
      <c r="BS346" t="s">
        <v>3034</v>
      </c>
      <c r="BT346" t="str">
        <f>HYPERLINK("https%3A%2F%2Fwww.webofscience.com%2Fwos%2Fwoscc%2Ffull-record%2FWOS:000257604000005","View Full Record in Web of Science")</f>
        <v>View Full Record in Web of Science</v>
      </c>
    </row>
    <row r="347" spans="1:72" x14ac:dyDescent="0.15">
      <c r="A347" t="s">
        <v>72</v>
      </c>
      <c r="B347" t="s">
        <v>3035</v>
      </c>
      <c r="C347" t="s">
        <v>74</v>
      </c>
      <c r="D347" t="s">
        <v>74</v>
      </c>
      <c r="E347" t="s">
        <v>74</v>
      </c>
      <c r="F347" t="s">
        <v>3036</v>
      </c>
      <c r="G347" t="s">
        <v>74</v>
      </c>
      <c r="H347" t="s">
        <v>74</v>
      </c>
      <c r="I347" t="s">
        <v>3037</v>
      </c>
      <c r="J347" t="s">
        <v>3038</v>
      </c>
      <c r="K347" t="s">
        <v>74</v>
      </c>
      <c r="L347" t="s">
        <v>74</v>
      </c>
      <c r="M347" t="s">
        <v>78</v>
      </c>
      <c r="N347" t="s">
        <v>2737</v>
      </c>
      <c r="O347" t="s">
        <v>74</v>
      </c>
      <c r="P347" t="s">
        <v>74</v>
      </c>
      <c r="Q347" t="s">
        <v>74</v>
      </c>
      <c r="R347" t="s">
        <v>74</v>
      </c>
      <c r="S347" t="s">
        <v>74</v>
      </c>
      <c r="T347" t="s">
        <v>74</v>
      </c>
      <c r="U347" t="s">
        <v>3039</v>
      </c>
      <c r="V347" t="s">
        <v>3040</v>
      </c>
      <c r="W347" t="s">
        <v>3041</v>
      </c>
      <c r="X347" t="s">
        <v>3042</v>
      </c>
      <c r="Y347" t="s">
        <v>3043</v>
      </c>
      <c r="Z347" t="s">
        <v>3044</v>
      </c>
      <c r="AA347" t="s">
        <v>3045</v>
      </c>
      <c r="AB347" t="s">
        <v>3046</v>
      </c>
      <c r="AC347" t="s">
        <v>74</v>
      </c>
      <c r="AD347" t="s">
        <v>74</v>
      </c>
      <c r="AE347" t="s">
        <v>74</v>
      </c>
      <c r="AF347" t="s">
        <v>74</v>
      </c>
      <c r="AG347">
        <v>16</v>
      </c>
      <c r="AH347">
        <v>11</v>
      </c>
      <c r="AI347">
        <v>13</v>
      </c>
      <c r="AJ347">
        <v>0</v>
      </c>
      <c r="AK347">
        <v>13</v>
      </c>
      <c r="AL347" t="s">
        <v>88</v>
      </c>
      <c r="AM347" t="s">
        <v>89</v>
      </c>
      <c r="AN347" t="s">
        <v>90</v>
      </c>
      <c r="AO347" t="s">
        <v>3047</v>
      </c>
      <c r="AP347" t="s">
        <v>3048</v>
      </c>
      <c r="AQ347" t="s">
        <v>74</v>
      </c>
      <c r="AR347" t="s">
        <v>3049</v>
      </c>
      <c r="AS347" t="s">
        <v>3050</v>
      </c>
      <c r="AT347" t="s">
        <v>95</v>
      </c>
      <c r="AU347">
        <v>2008</v>
      </c>
      <c r="AV347">
        <v>22</v>
      </c>
      <c r="AW347">
        <v>13</v>
      </c>
      <c r="AX347" t="s">
        <v>74</v>
      </c>
      <c r="AY347" t="s">
        <v>74</v>
      </c>
      <c r="AZ347" t="s">
        <v>74</v>
      </c>
      <c r="BA347" t="s">
        <v>74</v>
      </c>
      <c r="BB347">
        <v>2097</v>
      </c>
      <c r="BC347">
        <v>2103</v>
      </c>
      <c r="BD347" t="s">
        <v>74</v>
      </c>
      <c r="BE347" t="s">
        <v>3051</v>
      </c>
      <c r="BF347" t="str">
        <f>HYPERLINK("http://dx.doi.org/10.1002/rcm.3593","http://dx.doi.org/10.1002/rcm.3593")</f>
        <v>http://dx.doi.org/10.1002/rcm.3593</v>
      </c>
      <c r="BG347" t="s">
        <v>74</v>
      </c>
      <c r="BH347" t="s">
        <v>74</v>
      </c>
      <c r="BI347">
        <v>7</v>
      </c>
      <c r="BJ347" t="s">
        <v>3052</v>
      </c>
      <c r="BK347" t="s">
        <v>419</v>
      </c>
      <c r="BL347" t="s">
        <v>3053</v>
      </c>
      <c r="BM347" t="s">
        <v>3054</v>
      </c>
      <c r="BN347">
        <v>18512843</v>
      </c>
      <c r="BO347" t="s">
        <v>74</v>
      </c>
      <c r="BP347" t="s">
        <v>74</v>
      </c>
      <c r="BQ347" t="s">
        <v>74</v>
      </c>
      <c r="BR347" t="s">
        <v>101</v>
      </c>
      <c r="BS347" t="s">
        <v>3055</v>
      </c>
      <c r="BT347" t="str">
        <f>HYPERLINK("https%3A%2F%2Fwww.webofscience.com%2Fwos%2Fwoscc%2Ffull-record%2FWOS:000257243800011","View Full Record in Web of Science")</f>
        <v>View Full Record in Web of Science</v>
      </c>
    </row>
    <row r="348" spans="1:72" x14ac:dyDescent="0.15">
      <c r="A348" t="s">
        <v>72</v>
      </c>
      <c r="B348" t="s">
        <v>3056</v>
      </c>
      <c r="C348" t="s">
        <v>74</v>
      </c>
      <c r="D348" t="s">
        <v>74</v>
      </c>
      <c r="E348" t="s">
        <v>74</v>
      </c>
      <c r="F348" t="s">
        <v>3057</v>
      </c>
      <c r="G348" t="s">
        <v>74</v>
      </c>
      <c r="H348" t="s">
        <v>74</v>
      </c>
      <c r="I348" t="s">
        <v>3058</v>
      </c>
      <c r="J348" t="s">
        <v>3059</v>
      </c>
      <c r="K348" t="s">
        <v>74</v>
      </c>
      <c r="L348" t="s">
        <v>74</v>
      </c>
      <c r="M348" t="s">
        <v>78</v>
      </c>
      <c r="N348" t="s">
        <v>2737</v>
      </c>
      <c r="O348" t="s">
        <v>74</v>
      </c>
      <c r="P348" t="s">
        <v>74</v>
      </c>
      <c r="Q348" t="s">
        <v>74</v>
      </c>
      <c r="R348" t="s">
        <v>74</v>
      </c>
      <c r="S348" t="s">
        <v>74</v>
      </c>
      <c r="T348" t="s">
        <v>74</v>
      </c>
      <c r="U348" t="s">
        <v>74</v>
      </c>
      <c r="V348" t="s">
        <v>3060</v>
      </c>
      <c r="W348" t="s">
        <v>3061</v>
      </c>
      <c r="X348" t="s">
        <v>3062</v>
      </c>
      <c r="Y348" t="s">
        <v>3063</v>
      </c>
      <c r="Z348" t="s">
        <v>74</v>
      </c>
      <c r="AA348" t="s">
        <v>3064</v>
      </c>
      <c r="AB348" t="s">
        <v>74</v>
      </c>
      <c r="AC348" t="s">
        <v>74</v>
      </c>
      <c r="AD348" t="s">
        <v>74</v>
      </c>
      <c r="AE348" t="s">
        <v>74</v>
      </c>
      <c r="AF348" t="s">
        <v>74</v>
      </c>
      <c r="AG348">
        <v>21</v>
      </c>
      <c r="AH348">
        <v>1</v>
      </c>
      <c r="AI348">
        <v>3</v>
      </c>
      <c r="AJ348">
        <v>0</v>
      </c>
      <c r="AK348">
        <v>4</v>
      </c>
      <c r="AL348" t="s">
        <v>3065</v>
      </c>
      <c r="AM348" t="s">
        <v>2747</v>
      </c>
      <c r="AN348" t="s">
        <v>3066</v>
      </c>
      <c r="AO348" t="s">
        <v>3067</v>
      </c>
      <c r="AP348" t="s">
        <v>74</v>
      </c>
      <c r="AQ348" t="s">
        <v>74</v>
      </c>
      <c r="AR348" t="s">
        <v>3068</v>
      </c>
      <c r="AS348" t="s">
        <v>3069</v>
      </c>
      <c r="AT348" t="s">
        <v>95</v>
      </c>
      <c r="AU348">
        <v>2008</v>
      </c>
      <c r="AV348">
        <v>33</v>
      </c>
      <c r="AW348">
        <v>7</v>
      </c>
      <c r="AX348" t="s">
        <v>74</v>
      </c>
      <c r="AY348" t="s">
        <v>74</v>
      </c>
      <c r="AZ348" t="s">
        <v>74</v>
      </c>
      <c r="BA348" t="s">
        <v>74</v>
      </c>
      <c r="BB348">
        <v>458</v>
      </c>
      <c r="BC348">
        <v>465</v>
      </c>
      <c r="BD348" t="s">
        <v>74</v>
      </c>
      <c r="BE348" t="s">
        <v>3070</v>
      </c>
      <c r="BF348" t="str">
        <f>HYPERLINK("http://dx.doi.org/10.3103/S106837390807008X","http://dx.doi.org/10.3103/S106837390807008X")</f>
        <v>http://dx.doi.org/10.3103/S106837390807008X</v>
      </c>
      <c r="BG348" t="s">
        <v>74</v>
      </c>
      <c r="BH348" t="s">
        <v>74</v>
      </c>
      <c r="BI348">
        <v>8</v>
      </c>
      <c r="BJ348" t="s">
        <v>3071</v>
      </c>
      <c r="BK348" t="s">
        <v>419</v>
      </c>
      <c r="BL348" t="s">
        <v>3071</v>
      </c>
      <c r="BM348" t="s">
        <v>3072</v>
      </c>
      <c r="BN348" t="s">
        <v>74</v>
      </c>
      <c r="BO348" t="s">
        <v>74</v>
      </c>
      <c r="BP348" t="s">
        <v>74</v>
      </c>
      <c r="BQ348" t="s">
        <v>74</v>
      </c>
      <c r="BR348" t="s">
        <v>101</v>
      </c>
      <c r="BS348" t="s">
        <v>3073</v>
      </c>
      <c r="BT348" t="str">
        <f>HYPERLINK("https%3A%2F%2Fwww.webofscience.com%2Fwos%2Fwoscc%2Ffull-record%2FWOS:000262865700008","View Full Record in Web of Science")</f>
        <v>View Full Record in Web of Science</v>
      </c>
    </row>
    <row r="349" spans="1:72" x14ac:dyDescent="0.15">
      <c r="A349" t="s">
        <v>72</v>
      </c>
      <c r="B349" t="s">
        <v>3074</v>
      </c>
      <c r="C349" t="s">
        <v>74</v>
      </c>
      <c r="D349" t="s">
        <v>74</v>
      </c>
      <c r="E349" t="s">
        <v>74</v>
      </c>
      <c r="F349" t="s">
        <v>3075</v>
      </c>
      <c r="G349" t="s">
        <v>74</v>
      </c>
      <c r="H349" t="s">
        <v>74</v>
      </c>
      <c r="I349" t="s">
        <v>3076</v>
      </c>
      <c r="J349" t="s">
        <v>3077</v>
      </c>
      <c r="K349" t="s">
        <v>74</v>
      </c>
      <c r="L349" t="s">
        <v>74</v>
      </c>
      <c r="M349" t="s">
        <v>78</v>
      </c>
      <c r="N349" t="s">
        <v>2737</v>
      </c>
      <c r="O349" t="s">
        <v>74</v>
      </c>
      <c r="P349" t="s">
        <v>74</v>
      </c>
      <c r="Q349" t="s">
        <v>74</v>
      </c>
      <c r="R349" t="s">
        <v>74</v>
      </c>
      <c r="S349" t="s">
        <v>74</v>
      </c>
      <c r="T349" t="s">
        <v>3078</v>
      </c>
      <c r="U349" t="s">
        <v>3079</v>
      </c>
      <c r="V349" t="s">
        <v>3080</v>
      </c>
      <c r="W349" t="s">
        <v>3081</v>
      </c>
      <c r="X349" t="s">
        <v>3082</v>
      </c>
      <c r="Y349" t="s">
        <v>3083</v>
      </c>
      <c r="Z349" t="s">
        <v>3084</v>
      </c>
      <c r="AA349" t="s">
        <v>3085</v>
      </c>
      <c r="AB349" t="s">
        <v>74</v>
      </c>
      <c r="AC349" t="s">
        <v>74</v>
      </c>
      <c r="AD349" t="s">
        <v>74</v>
      </c>
      <c r="AE349" t="s">
        <v>74</v>
      </c>
      <c r="AF349" t="s">
        <v>74</v>
      </c>
      <c r="AG349">
        <v>44</v>
      </c>
      <c r="AH349">
        <v>16</v>
      </c>
      <c r="AI349">
        <v>18</v>
      </c>
      <c r="AJ349">
        <v>1</v>
      </c>
      <c r="AK349">
        <v>25</v>
      </c>
      <c r="AL349" t="s">
        <v>3086</v>
      </c>
      <c r="AM349" t="s">
        <v>3087</v>
      </c>
      <c r="AN349" t="s">
        <v>3088</v>
      </c>
      <c r="AO349" t="s">
        <v>3089</v>
      </c>
      <c r="AP349" t="s">
        <v>74</v>
      </c>
      <c r="AQ349" t="s">
        <v>74</v>
      </c>
      <c r="AR349" t="s">
        <v>3090</v>
      </c>
      <c r="AS349" t="s">
        <v>3091</v>
      </c>
      <c r="AT349" t="s">
        <v>95</v>
      </c>
      <c r="AU349">
        <v>2008</v>
      </c>
      <c r="AV349">
        <v>51</v>
      </c>
      <c r="AW349">
        <v>7</v>
      </c>
      <c r="AX349" t="s">
        <v>74</v>
      </c>
      <c r="AY349" t="s">
        <v>74</v>
      </c>
      <c r="AZ349" t="s">
        <v>74</v>
      </c>
      <c r="BA349" t="s">
        <v>74</v>
      </c>
      <c r="BB349">
        <v>1001</v>
      </c>
      <c r="BC349">
        <v>1012</v>
      </c>
      <c r="BD349" t="s">
        <v>74</v>
      </c>
      <c r="BE349" t="s">
        <v>3092</v>
      </c>
      <c r="BF349" t="str">
        <f>HYPERLINK("http://dx.doi.org/10.1007/s11430-008-0058-8","http://dx.doi.org/10.1007/s11430-008-0058-8")</f>
        <v>http://dx.doi.org/10.1007/s11430-008-0058-8</v>
      </c>
      <c r="BG349" t="s">
        <v>74</v>
      </c>
      <c r="BH349" t="s">
        <v>74</v>
      </c>
      <c r="BI349">
        <v>12</v>
      </c>
      <c r="BJ349" t="s">
        <v>3093</v>
      </c>
      <c r="BK349" t="s">
        <v>419</v>
      </c>
      <c r="BL349" t="s">
        <v>3094</v>
      </c>
      <c r="BM349" t="s">
        <v>3095</v>
      </c>
      <c r="BN349" t="s">
        <v>74</v>
      </c>
      <c r="BO349" t="s">
        <v>74</v>
      </c>
      <c r="BP349" t="s">
        <v>74</v>
      </c>
      <c r="BQ349" t="s">
        <v>74</v>
      </c>
      <c r="BR349" t="s">
        <v>101</v>
      </c>
      <c r="BS349" t="s">
        <v>3096</v>
      </c>
      <c r="BT349" t="str">
        <f>HYPERLINK("https%3A%2F%2Fwww.webofscience.com%2Fwos%2Fwoscc%2Ffull-record%2FWOS:000257332400010","View Full Record in Web of Science")</f>
        <v>View Full Record in Web of Science</v>
      </c>
    </row>
    <row r="350" spans="1:72" x14ac:dyDescent="0.15">
      <c r="A350" t="s">
        <v>72</v>
      </c>
      <c r="B350" t="s">
        <v>3097</v>
      </c>
      <c r="C350" t="s">
        <v>74</v>
      </c>
      <c r="D350" t="s">
        <v>74</v>
      </c>
      <c r="E350" t="s">
        <v>74</v>
      </c>
      <c r="F350" t="s">
        <v>3098</v>
      </c>
      <c r="G350" t="s">
        <v>74</v>
      </c>
      <c r="H350" t="s">
        <v>74</v>
      </c>
      <c r="I350" t="s">
        <v>3099</v>
      </c>
      <c r="J350" t="s">
        <v>3077</v>
      </c>
      <c r="K350" t="s">
        <v>74</v>
      </c>
      <c r="L350" t="s">
        <v>74</v>
      </c>
      <c r="M350" t="s">
        <v>78</v>
      </c>
      <c r="N350" t="s">
        <v>2737</v>
      </c>
      <c r="O350" t="s">
        <v>74</v>
      </c>
      <c r="P350" t="s">
        <v>74</v>
      </c>
      <c r="Q350" t="s">
        <v>74</v>
      </c>
      <c r="R350" t="s">
        <v>74</v>
      </c>
      <c r="S350" t="s">
        <v>74</v>
      </c>
      <c r="T350" t="s">
        <v>3100</v>
      </c>
      <c r="U350" t="s">
        <v>3101</v>
      </c>
      <c r="V350" t="s">
        <v>3102</v>
      </c>
      <c r="W350" t="s">
        <v>3103</v>
      </c>
      <c r="X350" t="s">
        <v>3104</v>
      </c>
      <c r="Y350" t="s">
        <v>3105</v>
      </c>
      <c r="Z350" t="s">
        <v>3106</v>
      </c>
      <c r="AA350" t="s">
        <v>3107</v>
      </c>
      <c r="AB350" t="s">
        <v>3108</v>
      </c>
      <c r="AC350" t="s">
        <v>74</v>
      </c>
      <c r="AD350" t="s">
        <v>74</v>
      </c>
      <c r="AE350" t="s">
        <v>74</v>
      </c>
      <c r="AF350" t="s">
        <v>74</v>
      </c>
      <c r="AG350">
        <v>26</v>
      </c>
      <c r="AH350">
        <v>10</v>
      </c>
      <c r="AI350">
        <v>12</v>
      </c>
      <c r="AJ350">
        <v>1</v>
      </c>
      <c r="AK350">
        <v>10</v>
      </c>
      <c r="AL350" t="s">
        <v>3086</v>
      </c>
      <c r="AM350" t="s">
        <v>3087</v>
      </c>
      <c r="AN350" t="s">
        <v>3088</v>
      </c>
      <c r="AO350" t="s">
        <v>3089</v>
      </c>
      <c r="AP350" t="s">
        <v>74</v>
      </c>
      <c r="AQ350" t="s">
        <v>74</v>
      </c>
      <c r="AR350" t="s">
        <v>3090</v>
      </c>
      <c r="AS350" t="s">
        <v>3091</v>
      </c>
      <c r="AT350" t="s">
        <v>95</v>
      </c>
      <c r="AU350">
        <v>2008</v>
      </c>
      <c r="AV350">
        <v>51</v>
      </c>
      <c r="AW350">
        <v>7</v>
      </c>
      <c r="AX350" t="s">
        <v>74</v>
      </c>
      <c r="AY350" t="s">
        <v>74</v>
      </c>
      <c r="AZ350" t="s">
        <v>74</v>
      </c>
      <c r="BA350" t="s">
        <v>74</v>
      </c>
      <c r="BB350">
        <v>1036</v>
      </c>
      <c r="BC350">
        <v>1043</v>
      </c>
      <c r="BD350" t="s">
        <v>74</v>
      </c>
      <c r="BE350" t="s">
        <v>3109</v>
      </c>
      <c r="BF350" t="str">
        <f>HYPERLINK("http://dx.doi.org/10.1007/s11430-008-0074-8","http://dx.doi.org/10.1007/s11430-008-0074-8")</f>
        <v>http://dx.doi.org/10.1007/s11430-008-0074-8</v>
      </c>
      <c r="BG350" t="s">
        <v>74</v>
      </c>
      <c r="BH350" t="s">
        <v>74</v>
      </c>
      <c r="BI350">
        <v>8</v>
      </c>
      <c r="BJ350" t="s">
        <v>3093</v>
      </c>
      <c r="BK350" t="s">
        <v>419</v>
      </c>
      <c r="BL350" t="s">
        <v>3094</v>
      </c>
      <c r="BM350" t="s">
        <v>3095</v>
      </c>
      <c r="BN350" t="s">
        <v>74</v>
      </c>
      <c r="BO350" t="s">
        <v>3110</v>
      </c>
      <c r="BP350" t="s">
        <v>74</v>
      </c>
      <c r="BQ350" t="s">
        <v>74</v>
      </c>
      <c r="BR350" t="s">
        <v>101</v>
      </c>
      <c r="BS350" t="s">
        <v>3111</v>
      </c>
      <c r="BT350" t="str">
        <f>HYPERLINK("https%3A%2F%2Fwww.webofscience.com%2Fwos%2Fwoscc%2Ffull-record%2FWOS:000257332400013","View Full Record in Web of Science")</f>
        <v>View Full Record in Web of Science</v>
      </c>
    </row>
    <row r="351" spans="1:72" x14ac:dyDescent="0.15">
      <c r="A351" t="s">
        <v>72</v>
      </c>
      <c r="B351" t="s">
        <v>3112</v>
      </c>
      <c r="C351" t="s">
        <v>74</v>
      </c>
      <c r="D351" t="s">
        <v>74</v>
      </c>
      <c r="E351" t="s">
        <v>74</v>
      </c>
      <c r="F351" t="s">
        <v>3113</v>
      </c>
      <c r="G351" t="s">
        <v>74</v>
      </c>
      <c r="H351" t="s">
        <v>74</v>
      </c>
      <c r="I351" t="s">
        <v>3114</v>
      </c>
      <c r="J351" t="s">
        <v>3115</v>
      </c>
      <c r="K351" t="s">
        <v>74</v>
      </c>
      <c r="L351" t="s">
        <v>74</v>
      </c>
      <c r="M351" t="s">
        <v>78</v>
      </c>
      <c r="N351" t="s">
        <v>3116</v>
      </c>
      <c r="O351" t="s">
        <v>74</v>
      </c>
      <c r="P351" t="s">
        <v>74</v>
      </c>
      <c r="Q351" t="s">
        <v>74</v>
      </c>
      <c r="R351" t="s">
        <v>74</v>
      </c>
      <c r="S351" t="s">
        <v>74</v>
      </c>
      <c r="T351" t="s">
        <v>74</v>
      </c>
      <c r="U351" t="s">
        <v>74</v>
      </c>
      <c r="V351" t="s">
        <v>3117</v>
      </c>
      <c r="W351" t="s">
        <v>74</v>
      </c>
      <c r="X351" t="s">
        <v>74</v>
      </c>
      <c r="Y351" t="s">
        <v>74</v>
      </c>
      <c r="Z351" t="s">
        <v>74</v>
      </c>
      <c r="AA351" t="s">
        <v>74</v>
      </c>
      <c r="AB351" t="s">
        <v>74</v>
      </c>
      <c r="AC351" t="s">
        <v>74</v>
      </c>
      <c r="AD351" t="s">
        <v>74</v>
      </c>
      <c r="AE351" t="s">
        <v>74</v>
      </c>
      <c r="AF351" t="s">
        <v>74</v>
      </c>
      <c r="AG351">
        <v>0</v>
      </c>
      <c r="AH351">
        <v>0</v>
      </c>
      <c r="AI351">
        <v>0</v>
      </c>
      <c r="AJ351">
        <v>0</v>
      </c>
      <c r="AK351">
        <v>3</v>
      </c>
      <c r="AL351" t="s">
        <v>3118</v>
      </c>
      <c r="AM351" t="s">
        <v>2747</v>
      </c>
      <c r="AN351" t="s">
        <v>3119</v>
      </c>
      <c r="AO351" t="s">
        <v>3120</v>
      </c>
      <c r="AP351" t="s">
        <v>74</v>
      </c>
      <c r="AQ351" t="s">
        <v>74</v>
      </c>
      <c r="AR351" t="s">
        <v>3121</v>
      </c>
      <c r="AS351" t="s">
        <v>3122</v>
      </c>
      <c r="AT351" t="s">
        <v>95</v>
      </c>
      <c r="AU351">
        <v>2008</v>
      </c>
      <c r="AV351">
        <v>299</v>
      </c>
      <c r="AW351">
        <v>1</v>
      </c>
      <c r="AX351" t="s">
        <v>74</v>
      </c>
      <c r="AY351" t="s">
        <v>74</v>
      </c>
      <c r="AZ351" t="s">
        <v>74</v>
      </c>
      <c r="BA351" t="s">
        <v>74</v>
      </c>
      <c r="BB351">
        <v>16</v>
      </c>
      <c r="BC351">
        <v>16</v>
      </c>
      <c r="BD351" t="s">
        <v>74</v>
      </c>
      <c r="BE351" t="s">
        <v>74</v>
      </c>
      <c r="BF351" t="s">
        <v>74</v>
      </c>
      <c r="BG351" t="s">
        <v>74</v>
      </c>
      <c r="BH351" t="s">
        <v>74</v>
      </c>
      <c r="BI351">
        <v>1</v>
      </c>
      <c r="BJ351" t="s">
        <v>3123</v>
      </c>
      <c r="BK351" t="s">
        <v>419</v>
      </c>
      <c r="BL351" t="s">
        <v>3124</v>
      </c>
      <c r="BM351" t="s">
        <v>3125</v>
      </c>
      <c r="BN351" t="s">
        <v>74</v>
      </c>
      <c r="BO351" t="s">
        <v>74</v>
      </c>
      <c r="BP351" t="s">
        <v>74</v>
      </c>
      <c r="BQ351" t="s">
        <v>74</v>
      </c>
      <c r="BR351" t="s">
        <v>101</v>
      </c>
      <c r="BS351" t="s">
        <v>3126</v>
      </c>
      <c r="BT351" t="str">
        <f>HYPERLINK("https%3A%2F%2Fwww.webofscience.com%2Fwos%2Fwoscc%2Ffull-record%2FWOS:000256896500011","View Full Record in Web of Science")</f>
        <v>View Full Record in Web of Science</v>
      </c>
    </row>
    <row r="352" spans="1:72" x14ac:dyDescent="0.15">
      <c r="A352" t="s">
        <v>72</v>
      </c>
      <c r="B352" t="s">
        <v>3127</v>
      </c>
      <c r="C352" t="s">
        <v>74</v>
      </c>
      <c r="D352" t="s">
        <v>74</v>
      </c>
      <c r="E352" t="s">
        <v>74</v>
      </c>
      <c r="F352" t="s">
        <v>3128</v>
      </c>
      <c r="G352" t="s">
        <v>74</v>
      </c>
      <c r="H352" t="s">
        <v>74</v>
      </c>
      <c r="I352" t="s">
        <v>3129</v>
      </c>
      <c r="J352" t="s">
        <v>3115</v>
      </c>
      <c r="K352" t="s">
        <v>74</v>
      </c>
      <c r="L352" t="s">
        <v>74</v>
      </c>
      <c r="M352" t="s">
        <v>78</v>
      </c>
      <c r="N352" t="s">
        <v>3116</v>
      </c>
      <c r="O352" t="s">
        <v>74</v>
      </c>
      <c r="P352" t="s">
        <v>74</v>
      </c>
      <c r="Q352" t="s">
        <v>74</v>
      </c>
      <c r="R352" t="s">
        <v>74</v>
      </c>
      <c r="S352" t="s">
        <v>74</v>
      </c>
      <c r="T352" t="s">
        <v>74</v>
      </c>
      <c r="U352" t="s">
        <v>74</v>
      </c>
      <c r="V352" t="s">
        <v>3130</v>
      </c>
      <c r="W352" t="s">
        <v>74</v>
      </c>
      <c r="X352" t="s">
        <v>74</v>
      </c>
      <c r="Y352" t="s">
        <v>74</v>
      </c>
      <c r="Z352" t="s">
        <v>74</v>
      </c>
      <c r="AA352" t="s">
        <v>74</v>
      </c>
      <c r="AB352" t="s">
        <v>74</v>
      </c>
      <c r="AC352" t="s">
        <v>74</v>
      </c>
      <c r="AD352" t="s">
        <v>74</v>
      </c>
      <c r="AE352" t="s">
        <v>74</v>
      </c>
      <c r="AF352" t="s">
        <v>74</v>
      </c>
      <c r="AG352">
        <v>0</v>
      </c>
      <c r="AH352">
        <v>0</v>
      </c>
      <c r="AI352">
        <v>0</v>
      </c>
      <c r="AJ352">
        <v>3</v>
      </c>
      <c r="AK352">
        <v>7</v>
      </c>
      <c r="AL352" t="s">
        <v>3118</v>
      </c>
      <c r="AM352" t="s">
        <v>2747</v>
      </c>
      <c r="AN352" t="s">
        <v>3119</v>
      </c>
      <c r="AO352" t="s">
        <v>3120</v>
      </c>
      <c r="AP352" t="s">
        <v>74</v>
      </c>
      <c r="AQ352" t="s">
        <v>74</v>
      </c>
      <c r="AR352" t="s">
        <v>3121</v>
      </c>
      <c r="AS352" t="s">
        <v>3122</v>
      </c>
      <c r="AT352" t="s">
        <v>95</v>
      </c>
      <c r="AU352">
        <v>2008</v>
      </c>
      <c r="AV352">
        <v>299</v>
      </c>
      <c r="AW352">
        <v>1</v>
      </c>
      <c r="AX352" t="s">
        <v>74</v>
      </c>
      <c r="AY352" t="s">
        <v>74</v>
      </c>
      <c r="AZ352" t="s">
        <v>74</v>
      </c>
      <c r="BA352" t="s">
        <v>74</v>
      </c>
      <c r="BB352">
        <v>18</v>
      </c>
      <c r="BC352" t="s">
        <v>3131</v>
      </c>
      <c r="BD352" t="s">
        <v>74</v>
      </c>
      <c r="BE352" t="s">
        <v>3132</v>
      </c>
      <c r="BF352" t="str">
        <f>HYPERLINK("http://dx.doi.org/10.1038/scientificamerican0708-18","http://dx.doi.org/10.1038/scientificamerican0708-18")</f>
        <v>http://dx.doi.org/10.1038/scientificamerican0708-18</v>
      </c>
      <c r="BG352" t="s">
        <v>74</v>
      </c>
      <c r="BH352" t="s">
        <v>74</v>
      </c>
      <c r="BI352">
        <v>2</v>
      </c>
      <c r="BJ352" t="s">
        <v>3123</v>
      </c>
      <c r="BK352" t="s">
        <v>419</v>
      </c>
      <c r="BL352" t="s">
        <v>3124</v>
      </c>
      <c r="BM352" t="s">
        <v>3125</v>
      </c>
      <c r="BN352">
        <v>18623953</v>
      </c>
      <c r="BO352" t="s">
        <v>74</v>
      </c>
      <c r="BP352" t="s">
        <v>74</v>
      </c>
      <c r="BQ352" t="s">
        <v>74</v>
      </c>
      <c r="BR352" t="s">
        <v>101</v>
      </c>
      <c r="BS352" t="s">
        <v>3133</v>
      </c>
      <c r="BT352" t="str">
        <f>HYPERLINK("https%3A%2F%2Fwww.webofscience.com%2Fwos%2Fwoscc%2Ffull-record%2FWOS:000256896500015","View Full Record in Web of Science")</f>
        <v>View Full Record in Web of Science</v>
      </c>
    </row>
    <row r="353" spans="1:72" x14ac:dyDescent="0.15">
      <c r="A353" t="s">
        <v>72</v>
      </c>
      <c r="B353" t="s">
        <v>3134</v>
      </c>
      <c r="C353" t="s">
        <v>74</v>
      </c>
      <c r="D353" t="s">
        <v>74</v>
      </c>
      <c r="E353" t="s">
        <v>74</v>
      </c>
      <c r="F353" t="s">
        <v>3135</v>
      </c>
      <c r="G353" t="s">
        <v>74</v>
      </c>
      <c r="H353" t="s">
        <v>3136</v>
      </c>
      <c r="I353" t="s">
        <v>3137</v>
      </c>
      <c r="J353" t="s">
        <v>3138</v>
      </c>
      <c r="K353" t="s">
        <v>74</v>
      </c>
      <c r="L353" t="s">
        <v>74</v>
      </c>
      <c r="M353" t="s">
        <v>78</v>
      </c>
      <c r="N353" t="s">
        <v>2737</v>
      </c>
      <c r="O353" t="s">
        <v>74</v>
      </c>
      <c r="P353" t="s">
        <v>74</v>
      </c>
      <c r="Q353" t="s">
        <v>74</v>
      </c>
      <c r="R353" t="s">
        <v>74</v>
      </c>
      <c r="S353" t="s">
        <v>74</v>
      </c>
      <c r="T353" t="s">
        <v>74</v>
      </c>
      <c r="U353" t="s">
        <v>74</v>
      </c>
      <c r="V353" t="s">
        <v>74</v>
      </c>
      <c r="W353" t="s">
        <v>3139</v>
      </c>
      <c r="X353" t="s">
        <v>3140</v>
      </c>
      <c r="Y353" t="s">
        <v>3141</v>
      </c>
      <c r="Z353" t="s">
        <v>3142</v>
      </c>
      <c r="AA353" t="s">
        <v>3143</v>
      </c>
      <c r="AB353" t="s">
        <v>3144</v>
      </c>
      <c r="AC353" t="s">
        <v>3145</v>
      </c>
      <c r="AD353" t="s">
        <v>3146</v>
      </c>
      <c r="AE353" t="s">
        <v>3147</v>
      </c>
      <c r="AF353" t="s">
        <v>74</v>
      </c>
      <c r="AG353">
        <v>6</v>
      </c>
      <c r="AH353">
        <v>13</v>
      </c>
      <c r="AI353">
        <v>16</v>
      </c>
      <c r="AJ353">
        <v>0</v>
      </c>
      <c r="AK353">
        <v>0</v>
      </c>
      <c r="AL353" t="s">
        <v>3148</v>
      </c>
      <c r="AM353" t="s">
        <v>3149</v>
      </c>
      <c r="AN353" t="s">
        <v>3150</v>
      </c>
      <c r="AO353" t="s">
        <v>3151</v>
      </c>
      <c r="AP353" t="s">
        <v>3152</v>
      </c>
      <c r="AQ353" t="s">
        <v>74</v>
      </c>
      <c r="AR353" t="s">
        <v>3153</v>
      </c>
      <c r="AS353" t="s">
        <v>3154</v>
      </c>
      <c r="AT353" t="s">
        <v>95</v>
      </c>
      <c r="AU353">
        <v>2008</v>
      </c>
      <c r="AV353">
        <v>6</v>
      </c>
      <c r="AW353" t="s">
        <v>74</v>
      </c>
      <c r="AX353" t="s">
        <v>74</v>
      </c>
      <c r="AY353" t="s">
        <v>74</v>
      </c>
      <c r="AZ353" t="s">
        <v>74</v>
      </c>
      <c r="BA353" t="s">
        <v>74</v>
      </c>
      <c r="BB353">
        <v>29</v>
      </c>
      <c r="BC353">
        <v>31</v>
      </c>
      <c r="BD353" t="s">
        <v>74</v>
      </c>
      <c r="BE353" t="s">
        <v>3155</v>
      </c>
      <c r="BF353" t="str">
        <f>HYPERLINK("http://dx.doi.org/10.5194/sd-6-29-2008","http://dx.doi.org/10.5194/sd-6-29-2008")</f>
        <v>http://dx.doi.org/10.5194/sd-6-29-2008</v>
      </c>
      <c r="BG353" t="s">
        <v>74</v>
      </c>
      <c r="BH353" t="s">
        <v>74</v>
      </c>
      <c r="BI353">
        <v>3</v>
      </c>
      <c r="BJ353" t="s">
        <v>3093</v>
      </c>
      <c r="BK353" t="s">
        <v>3156</v>
      </c>
      <c r="BL353" t="s">
        <v>3094</v>
      </c>
      <c r="BM353" t="s">
        <v>3157</v>
      </c>
      <c r="BN353" t="s">
        <v>74</v>
      </c>
      <c r="BO353" t="s">
        <v>3158</v>
      </c>
      <c r="BP353" t="s">
        <v>74</v>
      </c>
      <c r="BQ353" t="s">
        <v>74</v>
      </c>
      <c r="BR353" t="s">
        <v>101</v>
      </c>
      <c r="BS353" t="s">
        <v>3159</v>
      </c>
      <c r="BT353" t="str">
        <f>HYPERLINK("https%3A%2F%2Fwww.webofscience.com%2Fwos%2Fwoscc%2Ffull-record%2FWOS:000212901400004","View Full Record in Web of Science")</f>
        <v>View Full Record in Web of Science</v>
      </c>
    </row>
    <row r="354" spans="1:72" x14ac:dyDescent="0.15">
      <c r="A354" t="s">
        <v>72</v>
      </c>
      <c r="B354" t="s">
        <v>3160</v>
      </c>
      <c r="C354" t="s">
        <v>74</v>
      </c>
      <c r="D354" t="s">
        <v>74</v>
      </c>
      <c r="E354" t="s">
        <v>74</v>
      </c>
      <c r="F354" t="s">
        <v>3161</v>
      </c>
      <c r="G354" t="s">
        <v>74</v>
      </c>
      <c r="H354" t="s">
        <v>74</v>
      </c>
      <c r="I354" t="s">
        <v>3162</v>
      </c>
      <c r="J354" t="s">
        <v>3163</v>
      </c>
      <c r="K354" t="s">
        <v>74</v>
      </c>
      <c r="L354" t="s">
        <v>74</v>
      </c>
      <c r="M354" t="s">
        <v>78</v>
      </c>
      <c r="N354" t="s">
        <v>2737</v>
      </c>
      <c r="O354" t="s">
        <v>74</v>
      </c>
      <c r="P354" t="s">
        <v>74</v>
      </c>
      <c r="Q354" t="s">
        <v>74</v>
      </c>
      <c r="R354" t="s">
        <v>74</v>
      </c>
      <c r="S354" t="s">
        <v>74</v>
      </c>
      <c r="T354" t="s">
        <v>3164</v>
      </c>
      <c r="U354" t="s">
        <v>3165</v>
      </c>
      <c r="V354" t="s">
        <v>3166</v>
      </c>
      <c r="W354" t="s">
        <v>3167</v>
      </c>
      <c r="X354" t="s">
        <v>3168</v>
      </c>
      <c r="Y354" t="s">
        <v>3169</v>
      </c>
      <c r="Z354" t="s">
        <v>3170</v>
      </c>
      <c r="AA354" t="s">
        <v>3171</v>
      </c>
      <c r="AB354" t="s">
        <v>3172</v>
      </c>
      <c r="AC354" t="s">
        <v>74</v>
      </c>
      <c r="AD354" t="s">
        <v>74</v>
      </c>
      <c r="AE354" t="s">
        <v>74</v>
      </c>
      <c r="AF354" t="s">
        <v>74</v>
      </c>
      <c r="AG354">
        <v>68</v>
      </c>
      <c r="AH354">
        <v>113</v>
      </c>
      <c r="AI354">
        <v>141</v>
      </c>
      <c r="AJ354">
        <v>1</v>
      </c>
      <c r="AK354">
        <v>82</v>
      </c>
      <c r="AL354" t="s">
        <v>3007</v>
      </c>
      <c r="AM354" t="s">
        <v>3008</v>
      </c>
      <c r="AN354" t="s">
        <v>3009</v>
      </c>
      <c r="AO354" t="s">
        <v>3173</v>
      </c>
      <c r="AP354" t="s">
        <v>74</v>
      </c>
      <c r="AQ354" t="s">
        <v>74</v>
      </c>
      <c r="AR354" t="s">
        <v>3174</v>
      </c>
      <c r="AS354" t="s">
        <v>3175</v>
      </c>
      <c r="AT354" t="s">
        <v>95</v>
      </c>
      <c r="AU354">
        <v>2008</v>
      </c>
      <c r="AV354">
        <v>40</v>
      </c>
      <c r="AW354">
        <v>7</v>
      </c>
      <c r="AX354" t="s">
        <v>74</v>
      </c>
      <c r="AY354" t="s">
        <v>74</v>
      </c>
      <c r="AZ354" t="s">
        <v>74</v>
      </c>
      <c r="BA354" t="s">
        <v>74</v>
      </c>
      <c r="BB354">
        <v>1547</v>
      </c>
      <c r="BC354">
        <v>1556</v>
      </c>
      <c r="BD354" t="s">
        <v>74</v>
      </c>
      <c r="BE354" t="s">
        <v>3176</v>
      </c>
      <c r="BF354" t="str">
        <f>HYPERLINK("http://dx.doi.org/10.1016/j.soilbio.2008.01.017","http://dx.doi.org/10.1016/j.soilbio.2008.01.017")</f>
        <v>http://dx.doi.org/10.1016/j.soilbio.2008.01.017</v>
      </c>
      <c r="BG354" t="s">
        <v>74</v>
      </c>
      <c r="BH354" t="s">
        <v>74</v>
      </c>
      <c r="BI354">
        <v>10</v>
      </c>
      <c r="BJ354" t="s">
        <v>3177</v>
      </c>
      <c r="BK354" t="s">
        <v>419</v>
      </c>
      <c r="BL354" t="s">
        <v>3178</v>
      </c>
      <c r="BM354" t="s">
        <v>3179</v>
      </c>
      <c r="BN354" t="s">
        <v>74</v>
      </c>
      <c r="BO354" t="s">
        <v>74</v>
      </c>
      <c r="BP354" t="s">
        <v>74</v>
      </c>
      <c r="BQ354" t="s">
        <v>74</v>
      </c>
      <c r="BR354" t="s">
        <v>101</v>
      </c>
      <c r="BS354" t="s">
        <v>3180</v>
      </c>
      <c r="BT354" t="str">
        <f>HYPERLINK("https%3A%2F%2Fwww.webofscience.com%2Fwos%2Fwoscc%2Ffull-record%2FWOS:000257616100001","View Full Record in Web of Science")</f>
        <v>View Full Record in Web of Science</v>
      </c>
    </row>
    <row r="355" spans="1:72" x14ac:dyDescent="0.15">
      <c r="A355" t="s">
        <v>72</v>
      </c>
      <c r="B355" t="s">
        <v>3181</v>
      </c>
      <c r="C355" t="s">
        <v>74</v>
      </c>
      <c r="D355" t="s">
        <v>74</v>
      </c>
      <c r="E355" t="s">
        <v>74</v>
      </c>
      <c r="F355" t="s">
        <v>3182</v>
      </c>
      <c r="G355" t="s">
        <v>74</v>
      </c>
      <c r="H355" t="s">
        <v>74</v>
      </c>
      <c r="I355" t="s">
        <v>3183</v>
      </c>
      <c r="J355" t="s">
        <v>3184</v>
      </c>
      <c r="K355" t="s">
        <v>74</v>
      </c>
      <c r="L355" t="s">
        <v>74</v>
      </c>
      <c r="M355" t="s">
        <v>78</v>
      </c>
      <c r="N355" t="s">
        <v>2737</v>
      </c>
      <c r="O355" t="s">
        <v>74</v>
      </c>
      <c r="P355" t="s">
        <v>74</v>
      </c>
      <c r="Q355" t="s">
        <v>74</v>
      </c>
      <c r="R355" t="s">
        <v>74</v>
      </c>
      <c r="S355" t="s">
        <v>74</v>
      </c>
      <c r="T355" t="s">
        <v>3185</v>
      </c>
      <c r="U355" t="s">
        <v>3186</v>
      </c>
      <c r="V355" t="s">
        <v>74</v>
      </c>
      <c r="W355" t="s">
        <v>3187</v>
      </c>
      <c r="X355" t="s">
        <v>3188</v>
      </c>
      <c r="Y355" t="s">
        <v>3189</v>
      </c>
      <c r="Z355" t="s">
        <v>3190</v>
      </c>
      <c r="AA355" t="s">
        <v>3191</v>
      </c>
      <c r="AB355" t="s">
        <v>3192</v>
      </c>
      <c r="AC355" t="s">
        <v>3193</v>
      </c>
      <c r="AD355" t="s">
        <v>3194</v>
      </c>
      <c r="AE355" t="s">
        <v>3195</v>
      </c>
      <c r="AF355" t="s">
        <v>74</v>
      </c>
      <c r="AG355">
        <v>80</v>
      </c>
      <c r="AH355">
        <v>26</v>
      </c>
      <c r="AI355">
        <v>27</v>
      </c>
      <c r="AJ355">
        <v>0</v>
      </c>
      <c r="AK355">
        <v>8</v>
      </c>
      <c r="AL355" t="s">
        <v>3196</v>
      </c>
      <c r="AM355" t="s">
        <v>3197</v>
      </c>
      <c r="AN355" t="s">
        <v>3198</v>
      </c>
      <c r="AO355" t="s">
        <v>3199</v>
      </c>
      <c r="AP355" t="s">
        <v>3200</v>
      </c>
      <c r="AQ355" t="s">
        <v>74</v>
      </c>
      <c r="AR355" t="s">
        <v>3201</v>
      </c>
      <c r="AS355" t="s">
        <v>3202</v>
      </c>
      <c r="AT355" t="s">
        <v>95</v>
      </c>
      <c r="AU355">
        <v>2008</v>
      </c>
      <c r="AV355">
        <v>47</v>
      </c>
      <c r="AW355">
        <v>4</v>
      </c>
      <c r="AX355" t="s">
        <v>74</v>
      </c>
      <c r="AY355" t="s">
        <v>74</v>
      </c>
      <c r="AZ355" t="s">
        <v>74</v>
      </c>
      <c r="BA355" t="s">
        <v>74</v>
      </c>
      <c r="BB355">
        <v>402</v>
      </c>
      <c r="BC355">
        <v>416</v>
      </c>
      <c r="BD355" t="s">
        <v>74</v>
      </c>
      <c r="BE355" t="s">
        <v>74</v>
      </c>
      <c r="BF355" t="s">
        <v>74</v>
      </c>
      <c r="BG355" t="s">
        <v>74</v>
      </c>
      <c r="BH355" t="s">
        <v>74</v>
      </c>
      <c r="BI355">
        <v>15</v>
      </c>
      <c r="BJ355" t="s">
        <v>3203</v>
      </c>
      <c r="BK355" t="s">
        <v>419</v>
      </c>
      <c r="BL355" t="s">
        <v>3203</v>
      </c>
      <c r="BM355" t="s">
        <v>3204</v>
      </c>
      <c r="BN355" t="s">
        <v>74</v>
      </c>
      <c r="BO355" t="s">
        <v>74</v>
      </c>
      <c r="BP355" t="s">
        <v>74</v>
      </c>
      <c r="BQ355" t="s">
        <v>74</v>
      </c>
      <c r="BR355" t="s">
        <v>101</v>
      </c>
      <c r="BS355" t="s">
        <v>3205</v>
      </c>
      <c r="BT355" t="str">
        <f>HYPERLINK("https%3A%2F%2Fwww.webofscience.com%2Fwos%2Fwoscc%2Ffull-record%2FWOS:000258477600003","View Full Record in Web of Science")</f>
        <v>View Full Record in Web of Science</v>
      </c>
    </row>
    <row r="356" spans="1:72" x14ac:dyDescent="0.15">
      <c r="A356" t="s">
        <v>72</v>
      </c>
      <c r="B356" t="s">
        <v>3206</v>
      </c>
      <c r="C356" t="s">
        <v>74</v>
      </c>
      <c r="D356" t="s">
        <v>74</v>
      </c>
      <c r="E356" t="s">
        <v>74</v>
      </c>
      <c r="F356" t="s">
        <v>3207</v>
      </c>
      <c r="G356" t="s">
        <v>74</v>
      </c>
      <c r="H356" t="s">
        <v>74</v>
      </c>
      <c r="I356" t="s">
        <v>3208</v>
      </c>
      <c r="J356" t="s">
        <v>3209</v>
      </c>
      <c r="K356" t="s">
        <v>74</v>
      </c>
      <c r="L356" t="s">
        <v>74</v>
      </c>
      <c r="M356" t="s">
        <v>3210</v>
      </c>
      <c r="N356" t="s">
        <v>2737</v>
      </c>
      <c r="O356" t="s">
        <v>74</v>
      </c>
      <c r="P356" t="s">
        <v>74</v>
      </c>
      <c r="Q356" t="s">
        <v>74</v>
      </c>
      <c r="R356" t="s">
        <v>74</v>
      </c>
      <c r="S356" t="s">
        <v>74</v>
      </c>
      <c r="T356" t="s">
        <v>3211</v>
      </c>
      <c r="U356" t="s">
        <v>3212</v>
      </c>
      <c r="V356" t="s">
        <v>3213</v>
      </c>
      <c r="W356" t="s">
        <v>3214</v>
      </c>
      <c r="X356" t="s">
        <v>3215</v>
      </c>
      <c r="Y356" t="s">
        <v>74</v>
      </c>
      <c r="Z356" t="s">
        <v>3216</v>
      </c>
      <c r="AA356" t="s">
        <v>74</v>
      </c>
      <c r="AB356" t="s">
        <v>74</v>
      </c>
      <c r="AC356" t="s">
        <v>3217</v>
      </c>
      <c r="AD356" t="s">
        <v>3218</v>
      </c>
      <c r="AE356" t="s">
        <v>3219</v>
      </c>
      <c r="AF356" t="s">
        <v>74</v>
      </c>
      <c r="AG356">
        <v>70</v>
      </c>
      <c r="AH356">
        <v>10</v>
      </c>
      <c r="AI356">
        <v>13</v>
      </c>
      <c r="AJ356">
        <v>0</v>
      </c>
      <c r="AK356">
        <v>4</v>
      </c>
      <c r="AL356" t="s">
        <v>3220</v>
      </c>
      <c r="AM356" t="s">
        <v>3221</v>
      </c>
      <c r="AN356" t="s">
        <v>3222</v>
      </c>
      <c r="AO356" t="s">
        <v>3223</v>
      </c>
      <c r="AP356" t="s">
        <v>74</v>
      </c>
      <c r="AQ356" t="s">
        <v>74</v>
      </c>
      <c r="AR356" t="s">
        <v>3209</v>
      </c>
      <c r="AS356" t="s">
        <v>3224</v>
      </c>
      <c r="AT356" t="s">
        <v>3225</v>
      </c>
      <c r="AU356">
        <v>2008</v>
      </c>
      <c r="AV356">
        <v>45</v>
      </c>
      <c r="AW356">
        <v>2</v>
      </c>
      <c r="AX356" t="s">
        <v>74</v>
      </c>
      <c r="AY356" t="s">
        <v>74</v>
      </c>
      <c r="AZ356" t="s">
        <v>74</v>
      </c>
      <c r="BA356" t="s">
        <v>74</v>
      </c>
      <c r="BB356">
        <v>361</v>
      </c>
      <c r="BC356">
        <v>376</v>
      </c>
      <c r="BD356" t="s">
        <v>74</v>
      </c>
      <c r="BE356" t="s">
        <v>74</v>
      </c>
      <c r="BF356" t="s">
        <v>74</v>
      </c>
      <c r="BG356" t="s">
        <v>74</v>
      </c>
      <c r="BH356" t="s">
        <v>74</v>
      </c>
      <c r="BI356">
        <v>16</v>
      </c>
      <c r="BJ356" t="s">
        <v>3226</v>
      </c>
      <c r="BK356" t="s">
        <v>419</v>
      </c>
      <c r="BL356" t="s">
        <v>3226</v>
      </c>
      <c r="BM356" t="s">
        <v>3227</v>
      </c>
      <c r="BN356" t="s">
        <v>74</v>
      </c>
      <c r="BO356" t="s">
        <v>74</v>
      </c>
      <c r="BP356" t="s">
        <v>74</v>
      </c>
      <c r="BQ356" t="s">
        <v>74</v>
      </c>
      <c r="BR356" t="s">
        <v>101</v>
      </c>
      <c r="BS356" t="s">
        <v>3228</v>
      </c>
      <c r="BT356" t="str">
        <f>HYPERLINK("https%3A%2F%2Fwww.webofscience.com%2Fwos%2Fwoscc%2Ffull-record%2FWOS:000259173000009","View Full Record in Web of Science")</f>
        <v>View Full Record in Web of Science</v>
      </c>
    </row>
    <row r="357" spans="1:72" x14ac:dyDescent="0.15">
      <c r="A357" t="s">
        <v>72</v>
      </c>
      <c r="B357" t="s">
        <v>3229</v>
      </c>
      <c r="C357" t="s">
        <v>74</v>
      </c>
      <c r="D357" t="s">
        <v>74</v>
      </c>
      <c r="E357" t="s">
        <v>74</v>
      </c>
      <c r="F357" t="s">
        <v>3230</v>
      </c>
      <c r="G357" t="s">
        <v>74</v>
      </c>
      <c r="H357" t="s">
        <v>74</v>
      </c>
      <c r="I357" t="s">
        <v>3231</v>
      </c>
      <c r="J357" t="s">
        <v>3209</v>
      </c>
      <c r="K357" t="s">
        <v>74</v>
      </c>
      <c r="L357" t="s">
        <v>74</v>
      </c>
      <c r="M357" t="s">
        <v>3210</v>
      </c>
      <c r="N357" t="s">
        <v>2737</v>
      </c>
      <c r="O357" t="s">
        <v>74</v>
      </c>
      <c r="P357" t="s">
        <v>74</v>
      </c>
      <c r="Q357" t="s">
        <v>74</v>
      </c>
      <c r="R357" t="s">
        <v>74</v>
      </c>
      <c r="S357" t="s">
        <v>74</v>
      </c>
      <c r="T357" t="s">
        <v>3232</v>
      </c>
      <c r="U357" t="s">
        <v>3233</v>
      </c>
      <c r="V357" t="s">
        <v>3234</v>
      </c>
      <c r="W357" t="s">
        <v>3235</v>
      </c>
      <c r="X357" t="s">
        <v>3236</v>
      </c>
      <c r="Y357" t="s">
        <v>3237</v>
      </c>
      <c r="Z357" t="s">
        <v>3238</v>
      </c>
      <c r="AA357" t="s">
        <v>3239</v>
      </c>
      <c r="AB357" t="s">
        <v>3240</v>
      </c>
      <c r="AC357" t="s">
        <v>3241</v>
      </c>
      <c r="AD357" t="s">
        <v>3242</v>
      </c>
      <c r="AE357" t="s">
        <v>3243</v>
      </c>
      <c r="AF357" t="s">
        <v>74</v>
      </c>
      <c r="AG357">
        <v>58</v>
      </c>
      <c r="AH357">
        <v>9</v>
      </c>
      <c r="AI357">
        <v>9</v>
      </c>
      <c r="AJ357">
        <v>0</v>
      </c>
      <c r="AK357">
        <v>3</v>
      </c>
      <c r="AL357" t="s">
        <v>3220</v>
      </c>
      <c r="AM357" t="s">
        <v>3221</v>
      </c>
      <c r="AN357" t="s">
        <v>3222</v>
      </c>
      <c r="AO357" t="s">
        <v>3223</v>
      </c>
      <c r="AP357" t="s">
        <v>74</v>
      </c>
      <c r="AQ357" t="s">
        <v>74</v>
      </c>
      <c r="AR357" t="s">
        <v>3209</v>
      </c>
      <c r="AS357" t="s">
        <v>3224</v>
      </c>
      <c r="AT357" t="s">
        <v>3225</v>
      </c>
      <c r="AU357">
        <v>2008</v>
      </c>
      <c r="AV357">
        <v>45</v>
      </c>
      <c r="AW357">
        <v>2</v>
      </c>
      <c r="AX357" t="s">
        <v>74</v>
      </c>
      <c r="AY357" t="s">
        <v>74</v>
      </c>
      <c r="AZ357" t="s">
        <v>74</v>
      </c>
      <c r="BA357" t="s">
        <v>74</v>
      </c>
      <c r="BB357">
        <v>393</v>
      </c>
      <c r="BC357">
        <v>406</v>
      </c>
      <c r="BD357" t="s">
        <v>74</v>
      </c>
      <c r="BE357" t="s">
        <v>74</v>
      </c>
      <c r="BF357" t="s">
        <v>74</v>
      </c>
      <c r="BG357" t="s">
        <v>74</v>
      </c>
      <c r="BH357" t="s">
        <v>74</v>
      </c>
      <c r="BI357">
        <v>14</v>
      </c>
      <c r="BJ357" t="s">
        <v>3226</v>
      </c>
      <c r="BK357" t="s">
        <v>419</v>
      </c>
      <c r="BL357" t="s">
        <v>3226</v>
      </c>
      <c r="BM357" t="s">
        <v>3227</v>
      </c>
      <c r="BN357" t="s">
        <v>74</v>
      </c>
      <c r="BO357" t="s">
        <v>74</v>
      </c>
      <c r="BP357" t="s">
        <v>74</v>
      </c>
      <c r="BQ357" t="s">
        <v>74</v>
      </c>
      <c r="BR357" t="s">
        <v>101</v>
      </c>
      <c r="BS357" t="s">
        <v>3244</v>
      </c>
      <c r="BT357" t="str">
        <f>HYPERLINK("https%3A%2F%2Fwww.webofscience.com%2Fwos%2Fwoscc%2Ffull-record%2FWOS:000259173000011","View Full Record in Web of Science")</f>
        <v>View Full Record in Web of Science</v>
      </c>
    </row>
    <row r="358" spans="1:72" x14ac:dyDescent="0.15">
      <c r="A358" t="s">
        <v>72</v>
      </c>
      <c r="B358" t="s">
        <v>3245</v>
      </c>
      <c r="C358" t="s">
        <v>74</v>
      </c>
      <c r="D358" t="s">
        <v>74</v>
      </c>
      <c r="E358" t="s">
        <v>74</v>
      </c>
      <c r="F358" t="s">
        <v>3246</v>
      </c>
      <c r="G358" t="s">
        <v>74</v>
      </c>
      <c r="H358" t="s">
        <v>74</v>
      </c>
      <c r="I358" t="s">
        <v>3247</v>
      </c>
      <c r="J358" t="s">
        <v>3248</v>
      </c>
      <c r="K358" t="s">
        <v>74</v>
      </c>
      <c r="L358" t="s">
        <v>74</v>
      </c>
      <c r="M358" t="s">
        <v>78</v>
      </c>
      <c r="N358" t="s">
        <v>2737</v>
      </c>
      <c r="O358" t="s">
        <v>74</v>
      </c>
      <c r="P358" t="s">
        <v>74</v>
      </c>
      <c r="Q358" t="s">
        <v>74</v>
      </c>
      <c r="R358" t="s">
        <v>74</v>
      </c>
      <c r="S358" t="s">
        <v>74</v>
      </c>
      <c r="T358" t="s">
        <v>3249</v>
      </c>
      <c r="U358" t="s">
        <v>3250</v>
      </c>
      <c r="V358" t="s">
        <v>3251</v>
      </c>
      <c r="W358" t="s">
        <v>3252</v>
      </c>
      <c r="X358" t="s">
        <v>3253</v>
      </c>
      <c r="Y358" t="s">
        <v>3254</v>
      </c>
      <c r="Z358" t="s">
        <v>2554</v>
      </c>
      <c r="AA358" t="s">
        <v>3255</v>
      </c>
      <c r="AB358" t="s">
        <v>3256</v>
      </c>
      <c r="AC358" t="s">
        <v>74</v>
      </c>
      <c r="AD358" t="s">
        <v>74</v>
      </c>
      <c r="AE358" t="s">
        <v>74</v>
      </c>
      <c r="AF358" t="s">
        <v>74</v>
      </c>
      <c r="AG358">
        <v>50</v>
      </c>
      <c r="AH358">
        <v>26</v>
      </c>
      <c r="AI358">
        <v>30</v>
      </c>
      <c r="AJ358">
        <v>0</v>
      </c>
      <c r="AK358">
        <v>11</v>
      </c>
      <c r="AL358" t="s">
        <v>3257</v>
      </c>
      <c r="AM358" t="s">
        <v>3258</v>
      </c>
      <c r="AN358" t="s">
        <v>3259</v>
      </c>
      <c r="AO358" t="s">
        <v>3260</v>
      </c>
      <c r="AP358" t="s">
        <v>74</v>
      </c>
      <c r="AQ358" t="s">
        <v>74</v>
      </c>
      <c r="AR358" t="s">
        <v>3261</v>
      </c>
      <c r="AS358" t="s">
        <v>3262</v>
      </c>
      <c r="AT358" t="s">
        <v>3225</v>
      </c>
      <c r="AU358">
        <v>2008</v>
      </c>
      <c r="AV358">
        <v>270</v>
      </c>
      <c r="AW358" t="s">
        <v>3263</v>
      </c>
      <c r="AX358" t="s">
        <v>74</v>
      </c>
      <c r="AY358" t="s">
        <v>74</v>
      </c>
      <c r="AZ358" t="s">
        <v>74</v>
      </c>
      <c r="BA358" t="s">
        <v>74</v>
      </c>
      <c r="BB358">
        <v>308</v>
      </c>
      <c r="BC358">
        <v>315</v>
      </c>
      <c r="BD358" t="s">
        <v>74</v>
      </c>
      <c r="BE358" t="s">
        <v>3264</v>
      </c>
      <c r="BF358" t="str">
        <f>HYPERLINK("http://dx.doi.org/10.1016/j.epsl.2008.03.052","http://dx.doi.org/10.1016/j.epsl.2008.03.052")</f>
        <v>http://dx.doi.org/10.1016/j.epsl.2008.03.052</v>
      </c>
      <c r="BG358" t="s">
        <v>74</v>
      </c>
      <c r="BH358" t="s">
        <v>74</v>
      </c>
      <c r="BI358">
        <v>8</v>
      </c>
      <c r="BJ358" t="s">
        <v>98</v>
      </c>
      <c r="BK358" t="s">
        <v>419</v>
      </c>
      <c r="BL358" t="s">
        <v>98</v>
      </c>
      <c r="BM358" t="s">
        <v>3265</v>
      </c>
      <c r="BN358" t="s">
        <v>74</v>
      </c>
      <c r="BO358" t="s">
        <v>74</v>
      </c>
      <c r="BP358" t="s">
        <v>74</v>
      </c>
      <c r="BQ358" t="s">
        <v>74</v>
      </c>
      <c r="BR358" t="s">
        <v>101</v>
      </c>
      <c r="BS358" t="s">
        <v>3266</v>
      </c>
      <c r="BT358" t="str">
        <f>HYPERLINK("https%3A%2F%2Fwww.webofscience.com%2Fwos%2Fwoscc%2Ffull-record%2FWOS:000257713300016","View Full Record in Web of Science")</f>
        <v>View Full Record in Web of Science</v>
      </c>
    </row>
    <row r="359" spans="1:72" x14ac:dyDescent="0.15">
      <c r="A359" t="s">
        <v>72</v>
      </c>
      <c r="B359" t="s">
        <v>3267</v>
      </c>
      <c r="C359" t="s">
        <v>74</v>
      </c>
      <c r="D359" t="s">
        <v>74</v>
      </c>
      <c r="E359" t="s">
        <v>74</v>
      </c>
      <c r="F359" t="s">
        <v>3268</v>
      </c>
      <c r="G359" t="s">
        <v>74</v>
      </c>
      <c r="H359" t="s">
        <v>74</v>
      </c>
      <c r="I359" t="s">
        <v>3269</v>
      </c>
      <c r="J359" t="s">
        <v>3270</v>
      </c>
      <c r="K359" t="s">
        <v>74</v>
      </c>
      <c r="L359" t="s">
        <v>74</v>
      </c>
      <c r="M359" t="s">
        <v>78</v>
      </c>
      <c r="N359" t="s">
        <v>2737</v>
      </c>
      <c r="O359" t="s">
        <v>74</v>
      </c>
      <c r="P359" t="s">
        <v>74</v>
      </c>
      <c r="Q359" t="s">
        <v>74</v>
      </c>
      <c r="R359" t="s">
        <v>74</v>
      </c>
      <c r="S359" t="s">
        <v>74</v>
      </c>
      <c r="T359" t="s">
        <v>3271</v>
      </c>
      <c r="U359" t="s">
        <v>3272</v>
      </c>
      <c r="V359" t="s">
        <v>3273</v>
      </c>
      <c r="W359" t="s">
        <v>3274</v>
      </c>
      <c r="X359" t="s">
        <v>3275</v>
      </c>
      <c r="Y359" t="s">
        <v>3276</v>
      </c>
      <c r="Z359" t="s">
        <v>3277</v>
      </c>
      <c r="AA359" t="s">
        <v>3278</v>
      </c>
      <c r="AB359" t="s">
        <v>3279</v>
      </c>
      <c r="AC359" t="s">
        <v>74</v>
      </c>
      <c r="AD359" t="s">
        <v>74</v>
      </c>
      <c r="AE359" t="s">
        <v>74</v>
      </c>
      <c r="AF359" t="s">
        <v>74</v>
      </c>
      <c r="AG359">
        <v>67</v>
      </c>
      <c r="AH359">
        <v>36</v>
      </c>
      <c r="AI359">
        <v>38</v>
      </c>
      <c r="AJ359">
        <v>2</v>
      </c>
      <c r="AK359">
        <v>11</v>
      </c>
      <c r="AL359" t="s">
        <v>3280</v>
      </c>
      <c r="AM359" t="s">
        <v>3281</v>
      </c>
      <c r="AN359" t="s">
        <v>3282</v>
      </c>
      <c r="AO359" t="s">
        <v>3283</v>
      </c>
      <c r="AP359" t="s">
        <v>74</v>
      </c>
      <c r="AQ359" t="s">
        <v>74</v>
      </c>
      <c r="AR359" t="s">
        <v>3284</v>
      </c>
      <c r="AS359" t="s">
        <v>3285</v>
      </c>
      <c r="AT359" t="s">
        <v>3286</v>
      </c>
      <c r="AU359">
        <v>2008</v>
      </c>
      <c r="AV359">
        <v>9</v>
      </c>
      <c r="AW359" t="s">
        <v>74</v>
      </c>
      <c r="AX359" t="s">
        <v>74</v>
      </c>
      <c r="AY359" t="s">
        <v>74</v>
      </c>
      <c r="AZ359" t="s">
        <v>74</v>
      </c>
      <c r="BA359" t="s">
        <v>74</v>
      </c>
      <c r="BB359" t="s">
        <v>74</v>
      </c>
      <c r="BC359" t="s">
        <v>74</v>
      </c>
      <c r="BD359" t="s">
        <v>3287</v>
      </c>
      <c r="BE359" t="s">
        <v>3288</v>
      </c>
      <c r="BF359" t="str">
        <f>HYPERLINK("http://dx.doi.org/10.1029/2007GC001799","http://dx.doi.org/10.1029/2007GC001799")</f>
        <v>http://dx.doi.org/10.1029/2007GC001799</v>
      </c>
      <c r="BG359" t="s">
        <v>74</v>
      </c>
      <c r="BH359" t="s">
        <v>74</v>
      </c>
      <c r="BI359">
        <v>27</v>
      </c>
      <c r="BJ359" t="s">
        <v>98</v>
      </c>
      <c r="BK359" t="s">
        <v>419</v>
      </c>
      <c r="BL359" t="s">
        <v>98</v>
      </c>
      <c r="BM359" t="s">
        <v>3289</v>
      </c>
      <c r="BN359" t="s">
        <v>74</v>
      </c>
      <c r="BO359" t="s">
        <v>3290</v>
      </c>
      <c r="BP359" t="s">
        <v>74</v>
      </c>
      <c r="BQ359" t="s">
        <v>74</v>
      </c>
      <c r="BR359" t="s">
        <v>101</v>
      </c>
      <c r="BS359" t="s">
        <v>3291</v>
      </c>
      <c r="BT359" t="str">
        <f>HYPERLINK("https%3A%2F%2Fwww.webofscience.com%2Fwos%2Fwoscc%2Ffull-record%2FWOS:000257307900001","View Full Record in Web of Science")</f>
        <v>View Full Record in Web of Science</v>
      </c>
    </row>
    <row r="360" spans="1:72" x14ac:dyDescent="0.15">
      <c r="A360" t="s">
        <v>72</v>
      </c>
      <c r="B360" t="s">
        <v>3292</v>
      </c>
      <c r="C360" t="s">
        <v>74</v>
      </c>
      <c r="D360" t="s">
        <v>74</v>
      </c>
      <c r="E360" t="s">
        <v>74</v>
      </c>
      <c r="F360" t="s">
        <v>3293</v>
      </c>
      <c r="G360" t="s">
        <v>74</v>
      </c>
      <c r="H360" t="s">
        <v>74</v>
      </c>
      <c r="I360" t="s">
        <v>3294</v>
      </c>
      <c r="J360" t="s">
        <v>3295</v>
      </c>
      <c r="K360" t="s">
        <v>74</v>
      </c>
      <c r="L360" t="s">
        <v>74</v>
      </c>
      <c r="M360" t="s">
        <v>78</v>
      </c>
      <c r="N360" t="s">
        <v>2737</v>
      </c>
      <c r="O360" t="s">
        <v>74</v>
      </c>
      <c r="P360" t="s">
        <v>74</v>
      </c>
      <c r="Q360" t="s">
        <v>74</v>
      </c>
      <c r="R360" t="s">
        <v>74</v>
      </c>
      <c r="S360" t="s">
        <v>74</v>
      </c>
      <c r="T360" t="s">
        <v>74</v>
      </c>
      <c r="U360" t="s">
        <v>3296</v>
      </c>
      <c r="V360" t="s">
        <v>3297</v>
      </c>
      <c r="W360" t="s">
        <v>3298</v>
      </c>
      <c r="X360" t="s">
        <v>3299</v>
      </c>
      <c r="Y360" t="s">
        <v>3300</v>
      </c>
      <c r="Z360" t="s">
        <v>3301</v>
      </c>
      <c r="AA360" t="s">
        <v>3302</v>
      </c>
      <c r="AB360" t="s">
        <v>3303</v>
      </c>
      <c r="AC360" t="s">
        <v>74</v>
      </c>
      <c r="AD360" t="s">
        <v>74</v>
      </c>
      <c r="AE360" t="s">
        <v>74</v>
      </c>
      <c r="AF360" t="s">
        <v>74</v>
      </c>
      <c r="AG360">
        <v>27</v>
      </c>
      <c r="AH360">
        <v>169</v>
      </c>
      <c r="AI360">
        <v>193</v>
      </c>
      <c r="AJ360">
        <v>1</v>
      </c>
      <c r="AK360">
        <v>47</v>
      </c>
      <c r="AL360" t="s">
        <v>3280</v>
      </c>
      <c r="AM360" t="s">
        <v>3281</v>
      </c>
      <c r="AN360" t="s">
        <v>3282</v>
      </c>
      <c r="AO360" t="s">
        <v>3304</v>
      </c>
      <c r="AP360" t="s">
        <v>3305</v>
      </c>
      <c r="AQ360" t="s">
        <v>74</v>
      </c>
      <c r="AR360" t="s">
        <v>3306</v>
      </c>
      <c r="AS360" t="s">
        <v>3307</v>
      </c>
      <c r="AT360" t="s">
        <v>3286</v>
      </c>
      <c r="AU360">
        <v>2008</v>
      </c>
      <c r="AV360">
        <v>35</v>
      </c>
      <c r="AW360">
        <v>12</v>
      </c>
      <c r="AX360" t="s">
        <v>74</v>
      </c>
      <c r="AY360" t="s">
        <v>74</v>
      </c>
      <c r="AZ360" t="s">
        <v>74</v>
      </c>
      <c r="BA360" t="s">
        <v>74</v>
      </c>
      <c r="BB360" t="s">
        <v>74</v>
      </c>
      <c r="BC360" t="s">
        <v>74</v>
      </c>
      <c r="BD360" t="s">
        <v>3308</v>
      </c>
      <c r="BE360" t="s">
        <v>3309</v>
      </c>
      <c r="BF360" t="str">
        <f>HYPERLINK("http://dx.doi.org/10.1029/2008GL033365","http://dx.doi.org/10.1029/2008GL033365")</f>
        <v>http://dx.doi.org/10.1029/2008GL033365</v>
      </c>
      <c r="BG360" t="s">
        <v>74</v>
      </c>
      <c r="BH360" t="s">
        <v>74</v>
      </c>
      <c r="BI360">
        <v>5</v>
      </c>
      <c r="BJ360" t="s">
        <v>3093</v>
      </c>
      <c r="BK360" t="s">
        <v>419</v>
      </c>
      <c r="BL360" t="s">
        <v>3094</v>
      </c>
      <c r="BM360" t="s">
        <v>3310</v>
      </c>
      <c r="BN360" t="s">
        <v>74</v>
      </c>
      <c r="BO360" t="s">
        <v>3311</v>
      </c>
      <c r="BP360" t="s">
        <v>74</v>
      </c>
      <c r="BQ360" t="s">
        <v>74</v>
      </c>
      <c r="BR360" t="s">
        <v>101</v>
      </c>
      <c r="BS360" t="s">
        <v>3312</v>
      </c>
      <c r="BT360" t="str">
        <f>HYPERLINK("https%3A%2F%2Fwww.webofscience.com%2Fwos%2Fwoscc%2Ffull-record%2FWOS:000257309200001","View Full Record in Web of Science")</f>
        <v>View Full Record in Web of Science</v>
      </c>
    </row>
    <row r="361" spans="1:72" x14ac:dyDescent="0.15">
      <c r="A361" t="s">
        <v>72</v>
      </c>
      <c r="B361" t="s">
        <v>3313</v>
      </c>
      <c r="C361" t="s">
        <v>74</v>
      </c>
      <c r="D361" t="s">
        <v>74</v>
      </c>
      <c r="E361" t="s">
        <v>74</v>
      </c>
      <c r="F361" t="s">
        <v>3314</v>
      </c>
      <c r="G361" t="s">
        <v>74</v>
      </c>
      <c r="H361" t="s">
        <v>3315</v>
      </c>
      <c r="I361" t="s">
        <v>3316</v>
      </c>
      <c r="J361" t="s">
        <v>3317</v>
      </c>
      <c r="K361" t="s">
        <v>74</v>
      </c>
      <c r="L361" t="s">
        <v>74</v>
      </c>
      <c r="M361" t="s">
        <v>78</v>
      </c>
      <c r="N361" t="s">
        <v>3318</v>
      </c>
      <c r="O361" t="s">
        <v>3319</v>
      </c>
      <c r="P361" t="s">
        <v>3320</v>
      </c>
      <c r="Q361" t="s">
        <v>3321</v>
      </c>
      <c r="R361" t="s">
        <v>74</v>
      </c>
      <c r="S361" t="s">
        <v>74</v>
      </c>
      <c r="T361" t="s">
        <v>3322</v>
      </c>
      <c r="U361" t="s">
        <v>3323</v>
      </c>
      <c r="V361" t="s">
        <v>3324</v>
      </c>
      <c r="W361" t="s">
        <v>3325</v>
      </c>
      <c r="X361" t="s">
        <v>3326</v>
      </c>
      <c r="Y361" t="s">
        <v>3327</v>
      </c>
      <c r="Z361" t="s">
        <v>3328</v>
      </c>
      <c r="AA361" t="s">
        <v>3329</v>
      </c>
      <c r="AB361" t="s">
        <v>3330</v>
      </c>
      <c r="AC361" t="s">
        <v>74</v>
      </c>
      <c r="AD361" t="s">
        <v>74</v>
      </c>
      <c r="AE361" t="s">
        <v>74</v>
      </c>
      <c r="AF361" t="s">
        <v>74</v>
      </c>
      <c r="AG361">
        <v>18</v>
      </c>
      <c r="AH361">
        <v>1</v>
      </c>
      <c r="AI361">
        <v>2</v>
      </c>
      <c r="AJ361">
        <v>0</v>
      </c>
      <c r="AK361">
        <v>1</v>
      </c>
      <c r="AL361" t="s">
        <v>3331</v>
      </c>
      <c r="AM361" t="s">
        <v>3332</v>
      </c>
      <c r="AN361" t="s">
        <v>3333</v>
      </c>
      <c r="AO361" t="s">
        <v>3334</v>
      </c>
      <c r="AP361" t="s">
        <v>3335</v>
      </c>
      <c r="AQ361" t="s">
        <v>74</v>
      </c>
      <c r="AR361" t="s">
        <v>3336</v>
      </c>
      <c r="AS361" t="s">
        <v>3337</v>
      </c>
      <c r="AT361" t="s">
        <v>3286</v>
      </c>
      <c r="AU361">
        <v>2008</v>
      </c>
      <c r="AV361">
        <v>23</v>
      </c>
      <c r="AW361" t="s">
        <v>3338</v>
      </c>
      <c r="AX361" t="s">
        <v>74</v>
      </c>
      <c r="AY361" t="s">
        <v>74</v>
      </c>
      <c r="AZ361" t="s">
        <v>74</v>
      </c>
      <c r="BA361" t="s">
        <v>74</v>
      </c>
      <c r="BB361">
        <v>1419</v>
      </c>
      <c r="BC361">
        <v>1430</v>
      </c>
      <c r="BD361" t="s">
        <v>74</v>
      </c>
      <c r="BE361" t="s">
        <v>3339</v>
      </c>
      <c r="BF361" t="str">
        <f>HYPERLINK("http://dx.doi.org/10.1142/S0217732308027795","http://dx.doi.org/10.1142/S0217732308027795")</f>
        <v>http://dx.doi.org/10.1142/S0217732308027795</v>
      </c>
      <c r="BG361" t="s">
        <v>74</v>
      </c>
      <c r="BH361" t="s">
        <v>74</v>
      </c>
      <c r="BI361">
        <v>12</v>
      </c>
      <c r="BJ361" t="s">
        <v>3340</v>
      </c>
      <c r="BK361" t="s">
        <v>99</v>
      </c>
      <c r="BL361" t="s">
        <v>3341</v>
      </c>
      <c r="BM361" t="s">
        <v>3342</v>
      </c>
      <c r="BN361" t="s">
        <v>74</v>
      </c>
      <c r="BO361" t="s">
        <v>74</v>
      </c>
      <c r="BP361" t="s">
        <v>74</v>
      </c>
      <c r="BQ361" t="s">
        <v>74</v>
      </c>
      <c r="BR361" t="s">
        <v>101</v>
      </c>
      <c r="BS361" t="s">
        <v>3343</v>
      </c>
      <c r="BT361" t="str">
        <f>HYPERLINK("https%3A%2F%2Fwww.webofscience.com%2Fwos%2Fwoscc%2Ffull-record%2FWOS:000258297100028","View Full Record in Web of Science")</f>
        <v>View Full Record in Web of Science</v>
      </c>
    </row>
    <row r="362" spans="1:72" x14ac:dyDescent="0.15">
      <c r="A362" t="s">
        <v>72</v>
      </c>
      <c r="B362" t="s">
        <v>3344</v>
      </c>
      <c r="C362" t="s">
        <v>74</v>
      </c>
      <c r="D362" t="s">
        <v>74</v>
      </c>
      <c r="E362" t="s">
        <v>74</v>
      </c>
      <c r="F362" t="s">
        <v>3345</v>
      </c>
      <c r="G362" t="s">
        <v>74</v>
      </c>
      <c r="H362" t="s">
        <v>74</v>
      </c>
      <c r="I362" t="s">
        <v>3346</v>
      </c>
      <c r="J362" t="s">
        <v>3295</v>
      </c>
      <c r="K362" t="s">
        <v>74</v>
      </c>
      <c r="L362" t="s">
        <v>74</v>
      </c>
      <c r="M362" t="s">
        <v>78</v>
      </c>
      <c r="N362" t="s">
        <v>2737</v>
      </c>
      <c r="O362" t="s">
        <v>74</v>
      </c>
      <c r="P362" t="s">
        <v>74</v>
      </c>
      <c r="Q362" t="s">
        <v>74</v>
      </c>
      <c r="R362" t="s">
        <v>74</v>
      </c>
      <c r="S362" t="s">
        <v>74</v>
      </c>
      <c r="T362" t="s">
        <v>74</v>
      </c>
      <c r="U362" t="s">
        <v>3347</v>
      </c>
      <c r="V362" t="s">
        <v>3348</v>
      </c>
      <c r="W362" t="s">
        <v>3349</v>
      </c>
      <c r="X362" t="s">
        <v>3350</v>
      </c>
      <c r="Y362" t="s">
        <v>3351</v>
      </c>
      <c r="Z362" t="s">
        <v>3352</v>
      </c>
      <c r="AA362" t="s">
        <v>3353</v>
      </c>
      <c r="AB362" t="s">
        <v>3354</v>
      </c>
      <c r="AC362" t="s">
        <v>74</v>
      </c>
      <c r="AD362" t="s">
        <v>74</v>
      </c>
      <c r="AE362" t="s">
        <v>74</v>
      </c>
      <c r="AF362" t="s">
        <v>74</v>
      </c>
      <c r="AG362">
        <v>31</v>
      </c>
      <c r="AH362">
        <v>46</v>
      </c>
      <c r="AI362">
        <v>47</v>
      </c>
      <c r="AJ362">
        <v>0</v>
      </c>
      <c r="AK362">
        <v>20</v>
      </c>
      <c r="AL362" t="s">
        <v>3280</v>
      </c>
      <c r="AM362" t="s">
        <v>3281</v>
      </c>
      <c r="AN362" t="s">
        <v>3282</v>
      </c>
      <c r="AO362" t="s">
        <v>3304</v>
      </c>
      <c r="AP362" t="s">
        <v>3305</v>
      </c>
      <c r="AQ362" t="s">
        <v>74</v>
      </c>
      <c r="AR362" t="s">
        <v>3306</v>
      </c>
      <c r="AS362" t="s">
        <v>3307</v>
      </c>
      <c r="AT362" t="s">
        <v>3355</v>
      </c>
      <c r="AU362">
        <v>2008</v>
      </c>
      <c r="AV362">
        <v>35</v>
      </c>
      <c r="AW362">
        <v>12</v>
      </c>
      <c r="AX362" t="s">
        <v>74</v>
      </c>
      <c r="AY362" t="s">
        <v>74</v>
      </c>
      <c r="AZ362" t="s">
        <v>74</v>
      </c>
      <c r="BA362" t="s">
        <v>74</v>
      </c>
      <c r="BB362" t="s">
        <v>74</v>
      </c>
      <c r="BC362" t="s">
        <v>74</v>
      </c>
      <c r="BD362" t="s">
        <v>3356</v>
      </c>
      <c r="BE362" t="s">
        <v>3357</v>
      </c>
      <c r="BF362" t="str">
        <f>HYPERLINK("http://dx.doi.org/10.1029/2008GL033472","http://dx.doi.org/10.1029/2008GL033472")</f>
        <v>http://dx.doi.org/10.1029/2008GL033472</v>
      </c>
      <c r="BG362" t="s">
        <v>74</v>
      </c>
      <c r="BH362" t="s">
        <v>74</v>
      </c>
      <c r="BI362">
        <v>5</v>
      </c>
      <c r="BJ362" t="s">
        <v>3093</v>
      </c>
      <c r="BK362" t="s">
        <v>419</v>
      </c>
      <c r="BL362" t="s">
        <v>3094</v>
      </c>
      <c r="BM362" t="s">
        <v>3358</v>
      </c>
      <c r="BN362" t="s">
        <v>74</v>
      </c>
      <c r="BO362" t="s">
        <v>3359</v>
      </c>
      <c r="BP362" t="s">
        <v>74</v>
      </c>
      <c r="BQ362" t="s">
        <v>74</v>
      </c>
      <c r="BR362" t="s">
        <v>101</v>
      </c>
      <c r="BS362" t="s">
        <v>3360</v>
      </c>
      <c r="BT362" t="str">
        <f>HYPERLINK("https%3A%2F%2Fwww.webofscience.com%2Fwos%2Fwoscc%2Ffull-record%2FWOS:000257308700001","View Full Record in Web of Science")</f>
        <v>View Full Record in Web of Science</v>
      </c>
    </row>
    <row r="363" spans="1:72" x14ac:dyDescent="0.15">
      <c r="A363" t="s">
        <v>72</v>
      </c>
      <c r="B363" t="s">
        <v>3361</v>
      </c>
      <c r="C363" t="s">
        <v>74</v>
      </c>
      <c r="D363" t="s">
        <v>74</v>
      </c>
      <c r="E363" t="s">
        <v>74</v>
      </c>
      <c r="F363" t="s">
        <v>3362</v>
      </c>
      <c r="G363" t="s">
        <v>74</v>
      </c>
      <c r="H363" t="s">
        <v>74</v>
      </c>
      <c r="I363" t="s">
        <v>3363</v>
      </c>
      <c r="J363" t="s">
        <v>3295</v>
      </c>
      <c r="K363" t="s">
        <v>74</v>
      </c>
      <c r="L363" t="s">
        <v>74</v>
      </c>
      <c r="M363" t="s">
        <v>78</v>
      </c>
      <c r="N363" t="s">
        <v>2737</v>
      </c>
      <c r="O363" t="s">
        <v>74</v>
      </c>
      <c r="P363" t="s">
        <v>74</v>
      </c>
      <c r="Q363" t="s">
        <v>74</v>
      </c>
      <c r="R363" t="s">
        <v>74</v>
      </c>
      <c r="S363" t="s">
        <v>74</v>
      </c>
      <c r="T363" t="s">
        <v>74</v>
      </c>
      <c r="U363" t="s">
        <v>3364</v>
      </c>
      <c r="V363" t="s">
        <v>3365</v>
      </c>
      <c r="W363" t="s">
        <v>3366</v>
      </c>
      <c r="X363" t="s">
        <v>3367</v>
      </c>
      <c r="Y363" t="s">
        <v>3368</v>
      </c>
      <c r="Z363" t="s">
        <v>3369</v>
      </c>
      <c r="AA363" t="s">
        <v>3370</v>
      </c>
      <c r="AB363" t="s">
        <v>3371</v>
      </c>
      <c r="AC363" t="s">
        <v>3372</v>
      </c>
      <c r="AD363" t="s">
        <v>2792</v>
      </c>
      <c r="AE363" t="s">
        <v>74</v>
      </c>
      <c r="AF363" t="s">
        <v>74</v>
      </c>
      <c r="AG363">
        <v>20</v>
      </c>
      <c r="AH363">
        <v>24</v>
      </c>
      <c r="AI363">
        <v>26</v>
      </c>
      <c r="AJ363">
        <v>0</v>
      </c>
      <c r="AK363">
        <v>4</v>
      </c>
      <c r="AL363" t="s">
        <v>3280</v>
      </c>
      <c r="AM363" t="s">
        <v>3281</v>
      </c>
      <c r="AN363" t="s">
        <v>3282</v>
      </c>
      <c r="AO363" t="s">
        <v>3304</v>
      </c>
      <c r="AP363" t="s">
        <v>3305</v>
      </c>
      <c r="AQ363" t="s">
        <v>74</v>
      </c>
      <c r="AR363" t="s">
        <v>3306</v>
      </c>
      <c r="AS363" t="s">
        <v>3307</v>
      </c>
      <c r="AT363" t="s">
        <v>3355</v>
      </c>
      <c r="AU363">
        <v>2008</v>
      </c>
      <c r="AV363">
        <v>35</v>
      </c>
      <c r="AW363">
        <v>12</v>
      </c>
      <c r="AX363" t="s">
        <v>74</v>
      </c>
      <c r="AY363" t="s">
        <v>74</v>
      </c>
      <c r="AZ363" t="s">
        <v>74</v>
      </c>
      <c r="BA363" t="s">
        <v>74</v>
      </c>
      <c r="BB363" t="s">
        <v>74</v>
      </c>
      <c r="BC363" t="s">
        <v>74</v>
      </c>
      <c r="BD363" t="s">
        <v>3373</v>
      </c>
      <c r="BE363" t="s">
        <v>3374</v>
      </c>
      <c r="BF363" t="str">
        <f>HYPERLINK("http://dx.doi.org/10.1029/2008GL033681","http://dx.doi.org/10.1029/2008GL033681")</f>
        <v>http://dx.doi.org/10.1029/2008GL033681</v>
      </c>
      <c r="BG363" t="s">
        <v>74</v>
      </c>
      <c r="BH363" t="s">
        <v>74</v>
      </c>
      <c r="BI363">
        <v>5</v>
      </c>
      <c r="BJ363" t="s">
        <v>3093</v>
      </c>
      <c r="BK363" t="s">
        <v>419</v>
      </c>
      <c r="BL363" t="s">
        <v>3094</v>
      </c>
      <c r="BM363" t="s">
        <v>3358</v>
      </c>
      <c r="BN363" t="s">
        <v>74</v>
      </c>
      <c r="BO363" t="s">
        <v>74</v>
      </c>
      <c r="BP363" t="s">
        <v>74</v>
      </c>
      <c r="BQ363" t="s">
        <v>74</v>
      </c>
      <c r="BR363" t="s">
        <v>101</v>
      </c>
      <c r="BS363" t="s">
        <v>3375</v>
      </c>
      <c r="BT363" t="str">
        <f>HYPERLINK("https%3A%2F%2Fwww.webofscience.com%2Fwos%2Fwoscc%2Ffull-record%2FWOS:000257308700003","View Full Record in Web of Science")</f>
        <v>View Full Record in Web of Science</v>
      </c>
    </row>
    <row r="364" spans="1:72" x14ac:dyDescent="0.15">
      <c r="A364" t="s">
        <v>72</v>
      </c>
      <c r="B364" t="s">
        <v>3376</v>
      </c>
      <c r="C364" t="s">
        <v>74</v>
      </c>
      <c r="D364" t="s">
        <v>74</v>
      </c>
      <c r="E364" t="s">
        <v>74</v>
      </c>
      <c r="F364" t="s">
        <v>3377</v>
      </c>
      <c r="G364" t="s">
        <v>74</v>
      </c>
      <c r="H364" t="s">
        <v>74</v>
      </c>
      <c r="I364" t="s">
        <v>3378</v>
      </c>
      <c r="J364" t="s">
        <v>3295</v>
      </c>
      <c r="K364" t="s">
        <v>74</v>
      </c>
      <c r="L364" t="s">
        <v>74</v>
      </c>
      <c r="M364" t="s">
        <v>78</v>
      </c>
      <c r="N364" t="s">
        <v>2737</v>
      </c>
      <c r="O364" t="s">
        <v>74</v>
      </c>
      <c r="P364" t="s">
        <v>74</v>
      </c>
      <c r="Q364" t="s">
        <v>74</v>
      </c>
      <c r="R364" t="s">
        <v>74</v>
      </c>
      <c r="S364" t="s">
        <v>74</v>
      </c>
      <c r="T364" t="s">
        <v>74</v>
      </c>
      <c r="U364" t="s">
        <v>3379</v>
      </c>
      <c r="V364" t="s">
        <v>3380</v>
      </c>
      <c r="W364" t="s">
        <v>3381</v>
      </c>
      <c r="X364" t="s">
        <v>3382</v>
      </c>
      <c r="Y364" t="s">
        <v>3383</v>
      </c>
      <c r="Z364" t="s">
        <v>3384</v>
      </c>
      <c r="AA364" t="s">
        <v>3385</v>
      </c>
      <c r="AB364" t="s">
        <v>3386</v>
      </c>
      <c r="AC364" t="s">
        <v>3387</v>
      </c>
      <c r="AD364" t="s">
        <v>2792</v>
      </c>
      <c r="AE364" t="s">
        <v>74</v>
      </c>
      <c r="AF364" t="s">
        <v>74</v>
      </c>
      <c r="AG364">
        <v>24</v>
      </c>
      <c r="AH364">
        <v>92</v>
      </c>
      <c r="AI364">
        <v>99</v>
      </c>
      <c r="AJ364">
        <v>1</v>
      </c>
      <c r="AK364">
        <v>36</v>
      </c>
      <c r="AL364" t="s">
        <v>3280</v>
      </c>
      <c r="AM364" t="s">
        <v>3281</v>
      </c>
      <c r="AN364" t="s">
        <v>3282</v>
      </c>
      <c r="AO364" t="s">
        <v>3304</v>
      </c>
      <c r="AP364" t="s">
        <v>3305</v>
      </c>
      <c r="AQ364" t="s">
        <v>74</v>
      </c>
      <c r="AR364" t="s">
        <v>3306</v>
      </c>
      <c r="AS364" t="s">
        <v>3307</v>
      </c>
      <c r="AT364" t="s">
        <v>3388</v>
      </c>
      <c r="AU364">
        <v>2008</v>
      </c>
      <c r="AV364">
        <v>35</v>
      </c>
      <c r="AW364">
        <v>12</v>
      </c>
      <c r="AX364" t="s">
        <v>74</v>
      </c>
      <c r="AY364" t="s">
        <v>74</v>
      </c>
      <c r="AZ364" t="s">
        <v>74</v>
      </c>
      <c r="BA364" t="s">
        <v>74</v>
      </c>
      <c r="BB364" t="s">
        <v>74</v>
      </c>
      <c r="BC364" t="s">
        <v>74</v>
      </c>
      <c r="BD364" t="s">
        <v>3389</v>
      </c>
      <c r="BE364" t="s">
        <v>3390</v>
      </c>
      <c r="BF364" t="str">
        <f>HYPERLINK("http://dx.doi.org/10.1029/2008GL033674","http://dx.doi.org/10.1029/2008GL033674")</f>
        <v>http://dx.doi.org/10.1029/2008GL033674</v>
      </c>
      <c r="BG364" t="s">
        <v>74</v>
      </c>
      <c r="BH364" t="s">
        <v>74</v>
      </c>
      <c r="BI364">
        <v>5</v>
      </c>
      <c r="BJ364" t="s">
        <v>3093</v>
      </c>
      <c r="BK364" t="s">
        <v>419</v>
      </c>
      <c r="BL364" t="s">
        <v>3094</v>
      </c>
      <c r="BM364" t="s">
        <v>3391</v>
      </c>
      <c r="BN364" t="s">
        <v>74</v>
      </c>
      <c r="BO364" t="s">
        <v>74</v>
      </c>
      <c r="BP364" t="s">
        <v>74</v>
      </c>
      <c r="BQ364" t="s">
        <v>74</v>
      </c>
      <c r="BR364" t="s">
        <v>101</v>
      </c>
      <c r="BS364" t="s">
        <v>3392</v>
      </c>
      <c r="BT364" t="str">
        <f>HYPERLINK("https%3A%2F%2Fwww.webofscience.com%2Fwos%2Fwoscc%2Ffull-record%2FWOS:000257308500001","View Full Record in Web of Science")</f>
        <v>View Full Record in Web of Science</v>
      </c>
    </row>
    <row r="365" spans="1:72" x14ac:dyDescent="0.15">
      <c r="A365" t="s">
        <v>72</v>
      </c>
      <c r="B365" t="s">
        <v>3393</v>
      </c>
      <c r="C365" t="s">
        <v>74</v>
      </c>
      <c r="D365" t="s">
        <v>74</v>
      </c>
      <c r="E365" t="s">
        <v>74</v>
      </c>
      <c r="F365" t="s">
        <v>3394</v>
      </c>
      <c r="G365" t="s">
        <v>74</v>
      </c>
      <c r="H365" t="s">
        <v>74</v>
      </c>
      <c r="I365" t="s">
        <v>3395</v>
      </c>
      <c r="J365" t="s">
        <v>3396</v>
      </c>
      <c r="K365" t="s">
        <v>74</v>
      </c>
      <c r="L365" t="s">
        <v>74</v>
      </c>
      <c r="M365" t="s">
        <v>78</v>
      </c>
      <c r="N365" t="s">
        <v>2958</v>
      </c>
      <c r="O365" t="s">
        <v>74</v>
      </c>
      <c r="P365" t="s">
        <v>74</v>
      </c>
      <c r="Q365" t="s">
        <v>74</v>
      </c>
      <c r="R365" t="s">
        <v>74</v>
      </c>
      <c r="S365" t="s">
        <v>74</v>
      </c>
      <c r="T365" t="s">
        <v>74</v>
      </c>
      <c r="U365" t="s">
        <v>3397</v>
      </c>
      <c r="V365" t="s">
        <v>3398</v>
      </c>
      <c r="W365" t="s">
        <v>3399</v>
      </c>
      <c r="X365" t="s">
        <v>3400</v>
      </c>
      <c r="Y365" t="s">
        <v>3401</v>
      </c>
      <c r="Z365" t="s">
        <v>3402</v>
      </c>
      <c r="AA365" t="s">
        <v>3403</v>
      </c>
      <c r="AB365" t="s">
        <v>3404</v>
      </c>
      <c r="AC365" t="s">
        <v>3405</v>
      </c>
      <c r="AD365" t="s">
        <v>2792</v>
      </c>
      <c r="AE365" t="s">
        <v>74</v>
      </c>
      <c r="AF365" t="s">
        <v>74</v>
      </c>
      <c r="AG365">
        <v>116</v>
      </c>
      <c r="AH365">
        <v>68</v>
      </c>
      <c r="AI365">
        <v>69</v>
      </c>
      <c r="AJ365">
        <v>0</v>
      </c>
      <c r="AK365">
        <v>21</v>
      </c>
      <c r="AL365" t="s">
        <v>3280</v>
      </c>
      <c r="AM365" t="s">
        <v>3281</v>
      </c>
      <c r="AN365" t="s">
        <v>3282</v>
      </c>
      <c r="AO365" t="s">
        <v>3406</v>
      </c>
      <c r="AP365" t="s">
        <v>3407</v>
      </c>
      <c r="AQ365" t="s">
        <v>74</v>
      </c>
      <c r="AR365" t="s">
        <v>3408</v>
      </c>
      <c r="AS365" t="s">
        <v>3409</v>
      </c>
      <c r="AT365" t="s">
        <v>3388</v>
      </c>
      <c r="AU365">
        <v>2008</v>
      </c>
      <c r="AV365">
        <v>113</v>
      </c>
      <c r="AW365" t="s">
        <v>3410</v>
      </c>
      <c r="AX365" t="s">
        <v>74</v>
      </c>
      <c r="AY365" t="s">
        <v>74</v>
      </c>
      <c r="AZ365" t="s">
        <v>74</v>
      </c>
      <c r="BA365" t="s">
        <v>74</v>
      </c>
      <c r="BB365" t="s">
        <v>74</v>
      </c>
      <c r="BC365" t="s">
        <v>74</v>
      </c>
      <c r="BD365" t="s">
        <v>3411</v>
      </c>
      <c r="BE365" t="s">
        <v>3412</v>
      </c>
      <c r="BF365" t="str">
        <f>HYPERLINK("http://dx.doi.org/10.1029/2007JD009057","http://dx.doi.org/10.1029/2007JD009057")</f>
        <v>http://dx.doi.org/10.1029/2007JD009057</v>
      </c>
      <c r="BG365" t="s">
        <v>74</v>
      </c>
      <c r="BH365" t="s">
        <v>74</v>
      </c>
      <c r="BI365">
        <v>25</v>
      </c>
      <c r="BJ365" t="s">
        <v>3071</v>
      </c>
      <c r="BK365" t="s">
        <v>419</v>
      </c>
      <c r="BL365" t="s">
        <v>3071</v>
      </c>
      <c r="BM365" t="s">
        <v>3413</v>
      </c>
      <c r="BN365" t="s">
        <v>74</v>
      </c>
      <c r="BO365" t="s">
        <v>74</v>
      </c>
      <c r="BP365" t="s">
        <v>74</v>
      </c>
      <c r="BQ365" t="s">
        <v>74</v>
      </c>
      <c r="BR365" t="s">
        <v>101</v>
      </c>
      <c r="BS365" t="s">
        <v>3414</v>
      </c>
      <c r="BT365" t="str">
        <f>HYPERLINK("https%3A%2F%2Fwww.webofscience.com%2Fwos%2Fwoscc%2Ffull-record%2FWOS:000257309700001","View Full Record in Web of Science")</f>
        <v>View Full Record in Web of Science</v>
      </c>
    </row>
    <row r="366" spans="1:72" x14ac:dyDescent="0.15">
      <c r="A366" t="s">
        <v>72</v>
      </c>
      <c r="B366" t="s">
        <v>3415</v>
      </c>
      <c r="C366" t="s">
        <v>74</v>
      </c>
      <c r="D366" t="s">
        <v>74</v>
      </c>
      <c r="E366" t="s">
        <v>74</v>
      </c>
      <c r="F366" t="s">
        <v>3416</v>
      </c>
      <c r="G366" t="s">
        <v>74</v>
      </c>
      <c r="H366" t="s">
        <v>74</v>
      </c>
      <c r="I366" t="s">
        <v>3417</v>
      </c>
      <c r="J366" t="s">
        <v>3396</v>
      </c>
      <c r="K366" t="s">
        <v>74</v>
      </c>
      <c r="L366" t="s">
        <v>74</v>
      </c>
      <c r="M366" t="s">
        <v>78</v>
      </c>
      <c r="N366" t="s">
        <v>2737</v>
      </c>
      <c r="O366" t="s">
        <v>74</v>
      </c>
      <c r="P366" t="s">
        <v>74</v>
      </c>
      <c r="Q366" t="s">
        <v>74</v>
      </c>
      <c r="R366" t="s">
        <v>74</v>
      </c>
      <c r="S366" t="s">
        <v>74</v>
      </c>
      <c r="T366" t="s">
        <v>74</v>
      </c>
      <c r="U366" t="s">
        <v>3418</v>
      </c>
      <c r="V366" t="s">
        <v>3419</v>
      </c>
      <c r="W366" t="s">
        <v>3420</v>
      </c>
      <c r="X366" t="s">
        <v>3421</v>
      </c>
      <c r="Y366" t="s">
        <v>3422</v>
      </c>
      <c r="Z366" t="s">
        <v>3423</v>
      </c>
      <c r="AA366" t="s">
        <v>3424</v>
      </c>
      <c r="AB366" t="s">
        <v>3425</v>
      </c>
      <c r="AC366" t="s">
        <v>74</v>
      </c>
      <c r="AD366" t="s">
        <v>74</v>
      </c>
      <c r="AE366" t="s">
        <v>74</v>
      </c>
      <c r="AF366" t="s">
        <v>74</v>
      </c>
      <c r="AG366">
        <v>77</v>
      </c>
      <c r="AH366">
        <v>112</v>
      </c>
      <c r="AI366">
        <v>129</v>
      </c>
      <c r="AJ366">
        <v>0</v>
      </c>
      <c r="AK366">
        <v>48</v>
      </c>
      <c r="AL366" t="s">
        <v>3280</v>
      </c>
      <c r="AM366" t="s">
        <v>3281</v>
      </c>
      <c r="AN366" t="s">
        <v>3282</v>
      </c>
      <c r="AO366" t="s">
        <v>3406</v>
      </c>
      <c r="AP366" t="s">
        <v>3407</v>
      </c>
      <c r="AQ366" t="s">
        <v>74</v>
      </c>
      <c r="AR366" t="s">
        <v>3408</v>
      </c>
      <c r="AS366" t="s">
        <v>3409</v>
      </c>
      <c r="AT366" t="s">
        <v>3388</v>
      </c>
      <c r="AU366">
        <v>2008</v>
      </c>
      <c r="AV366">
        <v>113</v>
      </c>
      <c r="AW366" t="s">
        <v>3410</v>
      </c>
      <c r="AX366" t="s">
        <v>74</v>
      </c>
      <c r="AY366" t="s">
        <v>74</v>
      </c>
      <c r="AZ366" t="s">
        <v>74</v>
      </c>
      <c r="BA366" t="s">
        <v>74</v>
      </c>
      <c r="BB366" t="s">
        <v>74</v>
      </c>
      <c r="BC366" t="s">
        <v>74</v>
      </c>
      <c r="BD366" t="s">
        <v>3426</v>
      </c>
      <c r="BE366" t="s">
        <v>3427</v>
      </c>
      <c r="BF366" t="str">
        <f>HYPERLINK("http://dx.doi.org/10.1029/2007JD009416","http://dx.doi.org/10.1029/2007JD009416")</f>
        <v>http://dx.doi.org/10.1029/2007JD009416</v>
      </c>
      <c r="BG366" t="s">
        <v>74</v>
      </c>
      <c r="BH366" t="s">
        <v>74</v>
      </c>
      <c r="BI366">
        <v>21</v>
      </c>
      <c r="BJ366" t="s">
        <v>3071</v>
      </c>
      <c r="BK366" t="s">
        <v>419</v>
      </c>
      <c r="BL366" t="s">
        <v>3071</v>
      </c>
      <c r="BM366" t="s">
        <v>3413</v>
      </c>
      <c r="BN366" t="s">
        <v>74</v>
      </c>
      <c r="BO366" t="s">
        <v>3359</v>
      </c>
      <c r="BP366" t="s">
        <v>74</v>
      </c>
      <c r="BQ366" t="s">
        <v>74</v>
      </c>
      <c r="BR366" t="s">
        <v>101</v>
      </c>
      <c r="BS366" t="s">
        <v>3428</v>
      </c>
      <c r="BT366" t="str">
        <f>HYPERLINK("https%3A%2F%2Fwww.webofscience.com%2Fwos%2Fwoscc%2Ffull-record%2FWOS:000257309700005","View Full Record in Web of Science")</f>
        <v>View Full Record in Web of Science</v>
      </c>
    </row>
    <row r="367" spans="1:72" x14ac:dyDescent="0.15">
      <c r="A367" t="s">
        <v>72</v>
      </c>
      <c r="B367" t="s">
        <v>3429</v>
      </c>
      <c r="C367" t="s">
        <v>74</v>
      </c>
      <c r="D367" t="s">
        <v>74</v>
      </c>
      <c r="E367" t="s">
        <v>74</v>
      </c>
      <c r="F367" t="s">
        <v>3430</v>
      </c>
      <c r="G367" t="s">
        <v>74</v>
      </c>
      <c r="H367" t="s">
        <v>74</v>
      </c>
      <c r="I367" t="s">
        <v>3431</v>
      </c>
      <c r="J367" t="s">
        <v>3432</v>
      </c>
      <c r="K367" t="s">
        <v>74</v>
      </c>
      <c r="L367" t="s">
        <v>74</v>
      </c>
      <c r="M367" t="s">
        <v>78</v>
      </c>
      <c r="N367" t="s">
        <v>2737</v>
      </c>
      <c r="O367" t="s">
        <v>74</v>
      </c>
      <c r="P367" t="s">
        <v>74</v>
      </c>
      <c r="Q367" t="s">
        <v>74</v>
      </c>
      <c r="R367" t="s">
        <v>74</v>
      </c>
      <c r="S367" t="s">
        <v>74</v>
      </c>
      <c r="T367" t="s">
        <v>74</v>
      </c>
      <c r="U367" t="s">
        <v>3433</v>
      </c>
      <c r="V367" t="s">
        <v>3434</v>
      </c>
      <c r="W367" t="s">
        <v>3435</v>
      </c>
      <c r="X367" t="s">
        <v>3436</v>
      </c>
      <c r="Y367" t="s">
        <v>3437</v>
      </c>
      <c r="Z367" t="s">
        <v>3438</v>
      </c>
      <c r="AA367" t="s">
        <v>74</v>
      </c>
      <c r="AB367" t="s">
        <v>74</v>
      </c>
      <c r="AC367" t="s">
        <v>74</v>
      </c>
      <c r="AD367" t="s">
        <v>74</v>
      </c>
      <c r="AE367" t="s">
        <v>74</v>
      </c>
      <c r="AF367" t="s">
        <v>74</v>
      </c>
      <c r="AG367">
        <v>44</v>
      </c>
      <c r="AH367">
        <v>91</v>
      </c>
      <c r="AI367">
        <v>97</v>
      </c>
      <c r="AJ367">
        <v>0</v>
      </c>
      <c r="AK367">
        <v>28</v>
      </c>
      <c r="AL367" t="s">
        <v>3280</v>
      </c>
      <c r="AM367" t="s">
        <v>3281</v>
      </c>
      <c r="AN367" t="s">
        <v>3282</v>
      </c>
      <c r="AO367" t="s">
        <v>3439</v>
      </c>
      <c r="AP367" t="s">
        <v>3440</v>
      </c>
      <c r="AQ367" t="s">
        <v>74</v>
      </c>
      <c r="AR367" t="s">
        <v>3441</v>
      </c>
      <c r="AS367" t="s">
        <v>3442</v>
      </c>
      <c r="AT367" t="s">
        <v>3443</v>
      </c>
      <c r="AU367">
        <v>2008</v>
      </c>
      <c r="AV367">
        <v>113</v>
      </c>
      <c r="AW367" t="s">
        <v>3444</v>
      </c>
      <c r="AX367" t="s">
        <v>74</v>
      </c>
      <c r="AY367" t="s">
        <v>74</v>
      </c>
      <c r="AZ367" t="s">
        <v>74</v>
      </c>
      <c r="BA367" t="s">
        <v>74</v>
      </c>
      <c r="BB367" t="s">
        <v>74</v>
      </c>
      <c r="BC367" t="s">
        <v>74</v>
      </c>
      <c r="BD367" t="s">
        <v>3445</v>
      </c>
      <c r="BE367" t="s">
        <v>3446</v>
      </c>
      <c r="BF367" t="str">
        <f>HYPERLINK("http://dx.doi.org/10.1029/2006JC004079","http://dx.doi.org/10.1029/2006JC004079")</f>
        <v>http://dx.doi.org/10.1029/2006JC004079</v>
      </c>
      <c r="BG367" t="s">
        <v>74</v>
      </c>
      <c r="BH367" t="s">
        <v>74</v>
      </c>
      <c r="BI367">
        <v>16</v>
      </c>
      <c r="BJ367" t="s">
        <v>3447</v>
      </c>
      <c r="BK367" t="s">
        <v>419</v>
      </c>
      <c r="BL367" t="s">
        <v>3447</v>
      </c>
      <c r="BM367" t="s">
        <v>3448</v>
      </c>
      <c r="BN367" t="s">
        <v>74</v>
      </c>
      <c r="BO367" t="s">
        <v>3290</v>
      </c>
      <c r="BP367" t="s">
        <v>74</v>
      </c>
      <c r="BQ367" t="s">
        <v>74</v>
      </c>
      <c r="BR367" t="s">
        <v>101</v>
      </c>
      <c r="BS367" t="s">
        <v>3449</v>
      </c>
      <c r="BT367" t="str">
        <f>HYPERLINK("https%3A%2F%2Fwww.webofscience.com%2Fwos%2Fwoscc%2Ffull-record%2FWOS:000257311900002","View Full Record in Web of Science")</f>
        <v>View Full Record in Web of Science</v>
      </c>
    </row>
    <row r="368" spans="1:72" x14ac:dyDescent="0.15">
      <c r="A368" t="s">
        <v>72</v>
      </c>
      <c r="B368" t="s">
        <v>3450</v>
      </c>
      <c r="C368" t="s">
        <v>74</v>
      </c>
      <c r="D368" t="s">
        <v>74</v>
      </c>
      <c r="E368" t="s">
        <v>74</v>
      </c>
      <c r="F368" t="s">
        <v>3451</v>
      </c>
      <c r="G368" t="s">
        <v>74</v>
      </c>
      <c r="H368" t="s">
        <v>74</v>
      </c>
      <c r="I368" t="s">
        <v>3452</v>
      </c>
      <c r="J368" t="s">
        <v>3453</v>
      </c>
      <c r="K368" t="s">
        <v>74</v>
      </c>
      <c r="L368" t="s">
        <v>74</v>
      </c>
      <c r="M368" t="s">
        <v>78</v>
      </c>
      <c r="N368" t="s">
        <v>2737</v>
      </c>
      <c r="O368" t="s">
        <v>74</v>
      </c>
      <c r="P368" t="s">
        <v>74</v>
      </c>
      <c r="Q368" t="s">
        <v>74</v>
      </c>
      <c r="R368" t="s">
        <v>74</v>
      </c>
      <c r="S368" t="s">
        <v>74</v>
      </c>
      <c r="T368" t="s">
        <v>3454</v>
      </c>
      <c r="U368" t="s">
        <v>3455</v>
      </c>
      <c r="V368" t="s">
        <v>3456</v>
      </c>
      <c r="W368" t="s">
        <v>3457</v>
      </c>
      <c r="X368" t="s">
        <v>2562</v>
      </c>
      <c r="Y368" t="s">
        <v>3458</v>
      </c>
      <c r="Z368" t="s">
        <v>3459</v>
      </c>
      <c r="AA368" t="s">
        <v>74</v>
      </c>
      <c r="AB368" t="s">
        <v>3460</v>
      </c>
      <c r="AC368" t="s">
        <v>3461</v>
      </c>
      <c r="AD368" t="s">
        <v>3462</v>
      </c>
      <c r="AE368" t="s">
        <v>74</v>
      </c>
      <c r="AF368" t="s">
        <v>74</v>
      </c>
      <c r="AG368">
        <v>46</v>
      </c>
      <c r="AH368">
        <v>41</v>
      </c>
      <c r="AI368">
        <v>47</v>
      </c>
      <c r="AJ368">
        <v>0</v>
      </c>
      <c r="AK368">
        <v>25</v>
      </c>
      <c r="AL368" t="s">
        <v>3463</v>
      </c>
      <c r="AM368" t="s">
        <v>3281</v>
      </c>
      <c r="AN368" t="s">
        <v>3464</v>
      </c>
      <c r="AO368" t="s">
        <v>3465</v>
      </c>
      <c r="AP368" t="s">
        <v>74</v>
      </c>
      <c r="AQ368" t="s">
        <v>74</v>
      </c>
      <c r="AR368" t="s">
        <v>3466</v>
      </c>
      <c r="AS368" t="s">
        <v>3467</v>
      </c>
      <c r="AT368" t="s">
        <v>3443</v>
      </c>
      <c r="AU368">
        <v>2008</v>
      </c>
      <c r="AV368">
        <v>105</v>
      </c>
      <c r="AW368">
        <v>25</v>
      </c>
      <c r="AX368" t="s">
        <v>74</v>
      </c>
      <c r="AY368" t="s">
        <v>74</v>
      </c>
      <c r="AZ368" t="s">
        <v>74</v>
      </c>
      <c r="BA368" t="s">
        <v>74</v>
      </c>
      <c r="BB368">
        <v>8667</v>
      </c>
      <c r="BC368">
        <v>8672</v>
      </c>
      <c r="BD368" t="s">
        <v>74</v>
      </c>
      <c r="BE368" t="s">
        <v>3468</v>
      </c>
      <c r="BF368" t="str">
        <f>HYPERLINK("http://dx.doi.org/10.1073/pnas.0803763105","http://dx.doi.org/10.1073/pnas.0803763105")</f>
        <v>http://dx.doi.org/10.1073/pnas.0803763105</v>
      </c>
      <c r="BG368" t="s">
        <v>74</v>
      </c>
      <c r="BH368" t="s">
        <v>74</v>
      </c>
      <c r="BI368">
        <v>6</v>
      </c>
      <c r="BJ368" t="s">
        <v>3123</v>
      </c>
      <c r="BK368" t="s">
        <v>419</v>
      </c>
      <c r="BL368" t="s">
        <v>3124</v>
      </c>
      <c r="BM368" t="s">
        <v>3469</v>
      </c>
      <c r="BN368">
        <v>18550836</v>
      </c>
      <c r="BO368" t="s">
        <v>3311</v>
      </c>
      <c r="BP368" t="s">
        <v>74</v>
      </c>
      <c r="BQ368" t="s">
        <v>74</v>
      </c>
      <c r="BR368" t="s">
        <v>101</v>
      </c>
      <c r="BS368" t="s">
        <v>3470</v>
      </c>
      <c r="BT368" t="str">
        <f>HYPERLINK("https%3A%2F%2Fwww.webofscience.com%2Fwos%2Fwoscc%2Ffull-record%2FWOS:000257185700034","View Full Record in Web of Science")</f>
        <v>View Full Record in Web of Science</v>
      </c>
    </row>
    <row r="369" spans="1:72" x14ac:dyDescent="0.15">
      <c r="A369" t="s">
        <v>72</v>
      </c>
      <c r="B369" t="s">
        <v>3471</v>
      </c>
      <c r="C369" t="s">
        <v>74</v>
      </c>
      <c r="D369" t="s">
        <v>74</v>
      </c>
      <c r="E369" t="s">
        <v>74</v>
      </c>
      <c r="F369" t="s">
        <v>3472</v>
      </c>
      <c r="G369" t="s">
        <v>74</v>
      </c>
      <c r="H369" t="s">
        <v>74</v>
      </c>
      <c r="I369" t="s">
        <v>3473</v>
      </c>
      <c r="J369" t="s">
        <v>3474</v>
      </c>
      <c r="K369" t="s">
        <v>74</v>
      </c>
      <c r="L369" t="s">
        <v>74</v>
      </c>
      <c r="M369" t="s">
        <v>78</v>
      </c>
      <c r="N369" t="s">
        <v>2737</v>
      </c>
      <c r="O369" t="s">
        <v>74</v>
      </c>
      <c r="P369" t="s">
        <v>74</v>
      </c>
      <c r="Q369" t="s">
        <v>74</v>
      </c>
      <c r="R369" t="s">
        <v>74</v>
      </c>
      <c r="S369" t="s">
        <v>74</v>
      </c>
      <c r="T369" t="s">
        <v>3475</v>
      </c>
      <c r="U369" t="s">
        <v>3476</v>
      </c>
      <c r="V369" t="s">
        <v>3477</v>
      </c>
      <c r="W369" t="s">
        <v>3478</v>
      </c>
      <c r="X369" t="s">
        <v>3479</v>
      </c>
      <c r="Y369" t="s">
        <v>3480</v>
      </c>
      <c r="Z369" t="s">
        <v>3481</v>
      </c>
      <c r="AA369" t="s">
        <v>74</v>
      </c>
      <c r="AB369" t="s">
        <v>74</v>
      </c>
      <c r="AC369" t="s">
        <v>74</v>
      </c>
      <c r="AD369" t="s">
        <v>74</v>
      </c>
      <c r="AE369" t="s">
        <v>74</v>
      </c>
      <c r="AF369" t="s">
        <v>74</v>
      </c>
      <c r="AG369">
        <v>17</v>
      </c>
      <c r="AH369">
        <v>4</v>
      </c>
      <c r="AI369">
        <v>4</v>
      </c>
      <c r="AJ369">
        <v>0</v>
      </c>
      <c r="AK369">
        <v>2</v>
      </c>
      <c r="AL369" t="s">
        <v>3482</v>
      </c>
      <c r="AM369" t="s">
        <v>3483</v>
      </c>
      <c r="AN369" t="s">
        <v>3484</v>
      </c>
      <c r="AO369" t="s">
        <v>3485</v>
      </c>
      <c r="AP369" t="s">
        <v>74</v>
      </c>
      <c r="AQ369" t="s">
        <v>74</v>
      </c>
      <c r="AR369" t="s">
        <v>3474</v>
      </c>
      <c r="AS369" t="s">
        <v>3486</v>
      </c>
      <c r="AT369" t="s">
        <v>3487</v>
      </c>
      <c r="AU369">
        <v>2008</v>
      </c>
      <c r="AV369">
        <v>122</v>
      </c>
      <c r="AW369">
        <v>2</v>
      </c>
      <c r="AX369" t="s">
        <v>74</v>
      </c>
      <c r="AY369" t="s">
        <v>74</v>
      </c>
      <c r="AZ369" t="s">
        <v>74</v>
      </c>
      <c r="BA369" t="s">
        <v>74</v>
      </c>
      <c r="BB369">
        <v>107</v>
      </c>
      <c r="BC369">
        <v>114</v>
      </c>
      <c r="BD369" t="s">
        <v>74</v>
      </c>
      <c r="BE369" t="s">
        <v>74</v>
      </c>
      <c r="BF369" t="s">
        <v>74</v>
      </c>
      <c r="BG369" t="s">
        <v>74</v>
      </c>
      <c r="BH369" t="s">
        <v>74</v>
      </c>
      <c r="BI369">
        <v>8</v>
      </c>
      <c r="BJ369" t="s">
        <v>3488</v>
      </c>
      <c r="BK369" t="s">
        <v>419</v>
      </c>
      <c r="BL369" t="s">
        <v>3488</v>
      </c>
      <c r="BM369" t="s">
        <v>3489</v>
      </c>
      <c r="BN369" t="s">
        <v>74</v>
      </c>
      <c r="BO369" t="s">
        <v>74</v>
      </c>
      <c r="BP369" t="s">
        <v>74</v>
      </c>
      <c r="BQ369" t="s">
        <v>74</v>
      </c>
      <c r="BR369" t="s">
        <v>101</v>
      </c>
      <c r="BS369" t="s">
        <v>3490</v>
      </c>
      <c r="BT369" t="str">
        <f>HYPERLINK("https%3A%2F%2Fwww.webofscience.com%2Fwos%2Fwoscc%2Ffull-record%2FWOS:000257047300005","View Full Record in Web of Science")</f>
        <v>View Full Record in Web of Science</v>
      </c>
    </row>
    <row r="370" spans="1:72" x14ac:dyDescent="0.15">
      <c r="A370" t="s">
        <v>72</v>
      </c>
      <c r="B370" t="s">
        <v>3491</v>
      </c>
      <c r="C370" t="s">
        <v>74</v>
      </c>
      <c r="D370" t="s">
        <v>74</v>
      </c>
      <c r="E370" t="s">
        <v>74</v>
      </c>
      <c r="F370" t="s">
        <v>3492</v>
      </c>
      <c r="G370" t="s">
        <v>74</v>
      </c>
      <c r="H370" t="s">
        <v>74</v>
      </c>
      <c r="I370" t="s">
        <v>3493</v>
      </c>
      <c r="J370" t="s">
        <v>3494</v>
      </c>
      <c r="K370" t="s">
        <v>74</v>
      </c>
      <c r="L370" t="s">
        <v>74</v>
      </c>
      <c r="M370" t="s">
        <v>78</v>
      </c>
      <c r="N370" t="s">
        <v>2989</v>
      </c>
      <c r="O370" t="s">
        <v>74</v>
      </c>
      <c r="P370" t="s">
        <v>74</v>
      </c>
      <c r="Q370" t="s">
        <v>74</v>
      </c>
      <c r="R370" t="s">
        <v>74</v>
      </c>
      <c r="S370" t="s">
        <v>74</v>
      </c>
      <c r="T370" t="s">
        <v>74</v>
      </c>
      <c r="U370" t="s">
        <v>3495</v>
      </c>
      <c r="V370" t="s">
        <v>74</v>
      </c>
      <c r="W370" t="s">
        <v>3496</v>
      </c>
      <c r="X370" t="s">
        <v>2562</v>
      </c>
      <c r="Y370" t="s">
        <v>3497</v>
      </c>
      <c r="Z370" t="s">
        <v>3498</v>
      </c>
      <c r="AA370" t="s">
        <v>74</v>
      </c>
      <c r="AB370" t="s">
        <v>74</v>
      </c>
      <c r="AC370" t="s">
        <v>74</v>
      </c>
      <c r="AD370" t="s">
        <v>74</v>
      </c>
      <c r="AE370" t="s">
        <v>74</v>
      </c>
      <c r="AF370" t="s">
        <v>74</v>
      </c>
      <c r="AG370">
        <v>10</v>
      </c>
      <c r="AH370">
        <v>4</v>
      </c>
      <c r="AI370">
        <v>5</v>
      </c>
      <c r="AJ370">
        <v>0</v>
      </c>
      <c r="AK370">
        <v>18</v>
      </c>
      <c r="AL370" t="s">
        <v>3499</v>
      </c>
      <c r="AM370" t="s">
        <v>3281</v>
      </c>
      <c r="AN370" t="s">
        <v>3500</v>
      </c>
      <c r="AO370" t="s">
        <v>3501</v>
      </c>
      <c r="AP370" t="s">
        <v>74</v>
      </c>
      <c r="AQ370" t="s">
        <v>74</v>
      </c>
      <c r="AR370" t="s">
        <v>3494</v>
      </c>
      <c r="AS370" t="s">
        <v>3502</v>
      </c>
      <c r="AT370" t="s">
        <v>3503</v>
      </c>
      <c r="AU370">
        <v>2008</v>
      </c>
      <c r="AV370">
        <v>320</v>
      </c>
      <c r="AW370">
        <v>5883</v>
      </c>
      <c r="AX370" t="s">
        <v>74</v>
      </c>
      <c r="AY370" t="s">
        <v>74</v>
      </c>
      <c r="AZ370" t="s">
        <v>74</v>
      </c>
      <c r="BA370" t="s">
        <v>74</v>
      </c>
      <c r="BB370">
        <v>1596</v>
      </c>
      <c r="BC370">
        <v>1597</v>
      </c>
      <c r="BD370" t="s">
        <v>74</v>
      </c>
      <c r="BE370" t="s">
        <v>3504</v>
      </c>
      <c r="BF370" t="str">
        <f>HYPERLINK("http://dx.doi.org/10.1126/science.1158683","http://dx.doi.org/10.1126/science.1158683")</f>
        <v>http://dx.doi.org/10.1126/science.1158683</v>
      </c>
      <c r="BG370" t="s">
        <v>74</v>
      </c>
      <c r="BH370" t="s">
        <v>74</v>
      </c>
      <c r="BI370">
        <v>2</v>
      </c>
      <c r="BJ370" t="s">
        <v>3123</v>
      </c>
      <c r="BK370" t="s">
        <v>419</v>
      </c>
      <c r="BL370" t="s">
        <v>3124</v>
      </c>
      <c r="BM370" t="s">
        <v>3505</v>
      </c>
      <c r="BN370">
        <v>18511657</v>
      </c>
      <c r="BO370" t="s">
        <v>74</v>
      </c>
      <c r="BP370" t="s">
        <v>74</v>
      </c>
      <c r="BQ370" t="s">
        <v>74</v>
      </c>
      <c r="BR370" t="s">
        <v>101</v>
      </c>
      <c r="BS370" t="s">
        <v>3506</v>
      </c>
      <c r="BT370" t="str">
        <f>HYPERLINK("https%3A%2F%2Fwww.webofscience.com%2Fwos%2Fwoscc%2Ffull-record%2FWOS:000256886700032","View Full Record in Web of Science")</f>
        <v>View Full Record in Web of Science</v>
      </c>
    </row>
    <row r="371" spans="1:72" x14ac:dyDescent="0.15">
      <c r="A371" t="s">
        <v>72</v>
      </c>
      <c r="B371" t="s">
        <v>3507</v>
      </c>
      <c r="C371" t="s">
        <v>74</v>
      </c>
      <c r="D371" t="s">
        <v>74</v>
      </c>
      <c r="E371" t="s">
        <v>74</v>
      </c>
      <c r="F371" t="s">
        <v>3508</v>
      </c>
      <c r="G371" t="s">
        <v>74</v>
      </c>
      <c r="H371" t="s">
        <v>74</v>
      </c>
      <c r="I371" t="s">
        <v>3509</v>
      </c>
      <c r="J371" t="s">
        <v>3494</v>
      </c>
      <c r="K371" t="s">
        <v>74</v>
      </c>
      <c r="L371" t="s">
        <v>74</v>
      </c>
      <c r="M371" t="s">
        <v>78</v>
      </c>
      <c r="N371" t="s">
        <v>2737</v>
      </c>
      <c r="O371" t="s">
        <v>74</v>
      </c>
      <c r="P371" t="s">
        <v>74</v>
      </c>
      <c r="Q371" t="s">
        <v>74</v>
      </c>
      <c r="R371" t="s">
        <v>74</v>
      </c>
      <c r="S371" t="s">
        <v>74</v>
      </c>
      <c r="T371" t="s">
        <v>74</v>
      </c>
      <c r="U371" t="s">
        <v>3510</v>
      </c>
      <c r="V371" t="s">
        <v>3511</v>
      </c>
      <c r="W371" t="s">
        <v>3512</v>
      </c>
      <c r="X371" t="s">
        <v>3513</v>
      </c>
      <c r="Y371" t="s">
        <v>3514</v>
      </c>
      <c r="Z371" t="s">
        <v>3515</v>
      </c>
      <c r="AA371" t="s">
        <v>3516</v>
      </c>
      <c r="AB371" t="s">
        <v>3517</v>
      </c>
      <c r="AC371" t="s">
        <v>74</v>
      </c>
      <c r="AD371" t="s">
        <v>74</v>
      </c>
      <c r="AE371" t="s">
        <v>74</v>
      </c>
      <c r="AF371" t="s">
        <v>74</v>
      </c>
      <c r="AG371">
        <v>24</v>
      </c>
      <c r="AH371">
        <v>114</v>
      </c>
      <c r="AI371">
        <v>133</v>
      </c>
      <c r="AJ371">
        <v>2</v>
      </c>
      <c r="AK371">
        <v>25</v>
      </c>
      <c r="AL371" t="s">
        <v>3499</v>
      </c>
      <c r="AM371" t="s">
        <v>3281</v>
      </c>
      <c r="AN371" t="s">
        <v>3500</v>
      </c>
      <c r="AO371" t="s">
        <v>3501</v>
      </c>
      <c r="AP371" t="s">
        <v>3518</v>
      </c>
      <c r="AQ371" t="s">
        <v>74</v>
      </c>
      <c r="AR371" t="s">
        <v>3494</v>
      </c>
      <c r="AS371" t="s">
        <v>3502</v>
      </c>
      <c r="AT371" t="s">
        <v>3503</v>
      </c>
      <c r="AU371">
        <v>2008</v>
      </c>
      <c r="AV371">
        <v>320</v>
      </c>
      <c r="AW371">
        <v>5883</v>
      </c>
      <c r="AX371" t="s">
        <v>74</v>
      </c>
      <c r="AY371" t="s">
        <v>74</v>
      </c>
      <c r="AZ371" t="s">
        <v>74</v>
      </c>
      <c r="BA371" t="s">
        <v>74</v>
      </c>
      <c r="BB371">
        <v>1626</v>
      </c>
      <c r="BC371">
        <v>1629</v>
      </c>
      <c r="BD371" t="s">
        <v>74</v>
      </c>
      <c r="BE371" t="s">
        <v>3519</v>
      </c>
      <c r="BF371" t="str">
        <f>HYPERLINK("http://dx.doi.org/10.1126/science.1153894","http://dx.doi.org/10.1126/science.1153894")</f>
        <v>http://dx.doi.org/10.1126/science.1153894</v>
      </c>
      <c r="BG371" t="s">
        <v>74</v>
      </c>
      <c r="BH371" t="s">
        <v>74</v>
      </c>
      <c r="BI371">
        <v>4</v>
      </c>
      <c r="BJ371" t="s">
        <v>3123</v>
      </c>
      <c r="BK371" t="s">
        <v>419</v>
      </c>
      <c r="BL371" t="s">
        <v>3124</v>
      </c>
      <c r="BM371" t="s">
        <v>3505</v>
      </c>
      <c r="BN371">
        <v>18511656</v>
      </c>
      <c r="BO371" t="s">
        <v>3290</v>
      </c>
      <c r="BP371" t="s">
        <v>74</v>
      </c>
      <c r="BQ371" t="s">
        <v>74</v>
      </c>
      <c r="BR371" t="s">
        <v>101</v>
      </c>
      <c r="BS371" t="s">
        <v>3520</v>
      </c>
      <c r="BT371" t="str">
        <f>HYPERLINK("https%3A%2F%2Fwww.webofscience.com%2Fwos%2Fwoscc%2Ffull-record%2FWOS:000256886700045","View Full Record in Web of Science")</f>
        <v>View Full Record in Web of Science</v>
      </c>
    </row>
    <row r="372" spans="1:72" x14ac:dyDescent="0.15">
      <c r="A372" t="s">
        <v>72</v>
      </c>
      <c r="B372" t="s">
        <v>3521</v>
      </c>
      <c r="C372" t="s">
        <v>74</v>
      </c>
      <c r="D372" t="s">
        <v>74</v>
      </c>
      <c r="E372" t="s">
        <v>74</v>
      </c>
      <c r="F372" t="s">
        <v>3522</v>
      </c>
      <c r="G372" t="s">
        <v>74</v>
      </c>
      <c r="H372" t="s">
        <v>74</v>
      </c>
      <c r="I372" t="s">
        <v>3523</v>
      </c>
      <c r="J372" t="s">
        <v>3396</v>
      </c>
      <c r="K372" t="s">
        <v>74</v>
      </c>
      <c r="L372" t="s">
        <v>74</v>
      </c>
      <c r="M372" t="s">
        <v>78</v>
      </c>
      <c r="N372" t="s">
        <v>2737</v>
      </c>
      <c r="O372" t="s">
        <v>74</v>
      </c>
      <c r="P372" t="s">
        <v>74</v>
      </c>
      <c r="Q372" t="s">
        <v>74</v>
      </c>
      <c r="R372" t="s">
        <v>74</v>
      </c>
      <c r="S372" t="s">
        <v>74</v>
      </c>
      <c r="T372" t="s">
        <v>74</v>
      </c>
      <c r="U372" t="s">
        <v>3524</v>
      </c>
      <c r="V372" t="s">
        <v>3525</v>
      </c>
      <c r="W372" t="s">
        <v>3526</v>
      </c>
      <c r="X372" t="s">
        <v>3527</v>
      </c>
      <c r="Y372" t="s">
        <v>3528</v>
      </c>
      <c r="Z372" t="s">
        <v>3529</v>
      </c>
      <c r="AA372" t="s">
        <v>3530</v>
      </c>
      <c r="AB372" t="s">
        <v>3531</v>
      </c>
      <c r="AC372" t="s">
        <v>74</v>
      </c>
      <c r="AD372" t="s">
        <v>74</v>
      </c>
      <c r="AE372" t="s">
        <v>74</v>
      </c>
      <c r="AF372" t="s">
        <v>74</v>
      </c>
      <c r="AG372">
        <v>52</v>
      </c>
      <c r="AH372">
        <v>125</v>
      </c>
      <c r="AI372">
        <v>133</v>
      </c>
      <c r="AJ372">
        <v>0</v>
      </c>
      <c r="AK372">
        <v>14</v>
      </c>
      <c r="AL372" t="s">
        <v>3280</v>
      </c>
      <c r="AM372" t="s">
        <v>3281</v>
      </c>
      <c r="AN372" t="s">
        <v>3282</v>
      </c>
      <c r="AO372" t="s">
        <v>3406</v>
      </c>
      <c r="AP372" t="s">
        <v>3407</v>
      </c>
      <c r="AQ372" t="s">
        <v>74</v>
      </c>
      <c r="AR372" t="s">
        <v>3408</v>
      </c>
      <c r="AS372" t="s">
        <v>3409</v>
      </c>
      <c r="AT372" t="s">
        <v>3532</v>
      </c>
      <c r="AU372">
        <v>2008</v>
      </c>
      <c r="AV372">
        <v>113</v>
      </c>
      <c r="AW372" t="s">
        <v>3410</v>
      </c>
      <c r="AX372" t="s">
        <v>74</v>
      </c>
      <c r="AY372" t="s">
        <v>74</v>
      </c>
      <c r="AZ372" t="s">
        <v>74</v>
      </c>
      <c r="BA372" t="s">
        <v>74</v>
      </c>
      <c r="BB372" t="s">
        <v>74</v>
      </c>
      <c r="BC372" t="s">
        <v>74</v>
      </c>
      <c r="BD372" t="s">
        <v>3533</v>
      </c>
      <c r="BE372" t="s">
        <v>3534</v>
      </c>
      <c r="BF372" t="str">
        <f>HYPERLINK("http://dx.doi.org/10.1029/2007JD009511","http://dx.doi.org/10.1029/2007JD009511")</f>
        <v>http://dx.doi.org/10.1029/2007JD009511</v>
      </c>
      <c r="BG372" t="s">
        <v>74</v>
      </c>
      <c r="BH372" t="s">
        <v>74</v>
      </c>
      <c r="BI372">
        <v>16</v>
      </c>
      <c r="BJ372" t="s">
        <v>3071</v>
      </c>
      <c r="BK372" t="s">
        <v>419</v>
      </c>
      <c r="BL372" t="s">
        <v>3071</v>
      </c>
      <c r="BM372" t="s">
        <v>3535</v>
      </c>
      <c r="BN372" t="s">
        <v>74</v>
      </c>
      <c r="BO372" t="s">
        <v>3290</v>
      </c>
      <c r="BP372" t="s">
        <v>74</v>
      </c>
      <c r="BQ372" t="s">
        <v>74</v>
      </c>
      <c r="BR372" t="s">
        <v>101</v>
      </c>
      <c r="BS372" t="s">
        <v>3536</v>
      </c>
      <c r="BT372" t="str">
        <f>HYPERLINK("https%3A%2F%2Fwww.webofscience.com%2Fwos%2Fwoscc%2Ffull-record%2FWOS:000257055300005","View Full Record in Web of Science")</f>
        <v>View Full Record in Web of Science</v>
      </c>
    </row>
    <row r="373" spans="1:72" x14ac:dyDescent="0.15">
      <c r="A373" t="s">
        <v>72</v>
      </c>
      <c r="B373" t="s">
        <v>3537</v>
      </c>
      <c r="C373" t="s">
        <v>74</v>
      </c>
      <c r="D373" t="s">
        <v>74</v>
      </c>
      <c r="E373" t="s">
        <v>74</v>
      </c>
      <c r="F373" t="s">
        <v>3538</v>
      </c>
      <c r="G373" t="s">
        <v>74</v>
      </c>
      <c r="H373" t="s">
        <v>74</v>
      </c>
      <c r="I373" t="s">
        <v>3539</v>
      </c>
      <c r="J373" t="s">
        <v>3540</v>
      </c>
      <c r="K373" t="s">
        <v>74</v>
      </c>
      <c r="L373" t="s">
        <v>74</v>
      </c>
      <c r="M373" t="s">
        <v>78</v>
      </c>
      <c r="N373" t="s">
        <v>2737</v>
      </c>
      <c r="O373" t="s">
        <v>74</v>
      </c>
      <c r="P373" t="s">
        <v>74</v>
      </c>
      <c r="Q373" t="s">
        <v>74</v>
      </c>
      <c r="R373" t="s">
        <v>74</v>
      </c>
      <c r="S373" t="s">
        <v>74</v>
      </c>
      <c r="T373" t="s">
        <v>74</v>
      </c>
      <c r="U373" t="s">
        <v>3541</v>
      </c>
      <c r="V373" t="s">
        <v>3542</v>
      </c>
      <c r="W373" t="s">
        <v>3543</v>
      </c>
      <c r="X373" t="s">
        <v>3544</v>
      </c>
      <c r="Y373" t="s">
        <v>3545</v>
      </c>
      <c r="Z373" t="s">
        <v>3546</v>
      </c>
      <c r="AA373" t="s">
        <v>3547</v>
      </c>
      <c r="AB373" t="s">
        <v>3548</v>
      </c>
      <c r="AC373" t="s">
        <v>74</v>
      </c>
      <c r="AD373" t="s">
        <v>74</v>
      </c>
      <c r="AE373" t="s">
        <v>74</v>
      </c>
      <c r="AF373" t="s">
        <v>74</v>
      </c>
      <c r="AG373">
        <v>33</v>
      </c>
      <c r="AH373">
        <v>542</v>
      </c>
      <c r="AI373">
        <v>600</v>
      </c>
      <c r="AJ373">
        <v>7</v>
      </c>
      <c r="AK373">
        <v>249</v>
      </c>
      <c r="AL373" t="s">
        <v>3549</v>
      </c>
      <c r="AM373" t="s">
        <v>3550</v>
      </c>
      <c r="AN373" t="s">
        <v>3551</v>
      </c>
      <c r="AO373" t="s">
        <v>3552</v>
      </c>
      <c r="AP373" t="s">
        <v>3553</v>
      </c>
      <c r="AQ373" t="s">
        <v>74</v>
      </c>
      <c r="AR373" t="s">
        <v>3540</v>
      </c>
      <c r="AS373" t="s">
        <v>3554</v>
      </c>
      <c r="AT373" t="s">
        <v>3532</v>
      </c>
      <c r="AU373">
        <v>2008</v>
      </c>
      <c r="AV373">
        <v>453</v>
      </c>
      <c r="AW373">
        <v>7198</v>
      </c>
      <c r="AX373" t="s">
        <v>74</v>
      </c>
      <c r="AY373" t="s">
        <v>74</v>
      </c>
      <c r="AZ373" t="s">
        <v>74</v>
      </c>
      <c r="BA373" t="s">
        <v>74</v>
      </c>
      <c r="BB373">
        <v>1090</v>
      </c>
      <c r="BC373" t="s">
        <v>3555</v>
      </c>
      <c r="BD373" t="s">
        <v>74</v>
      </c>
      <c r="BE373" t="s">
        <v>3556</v>
      </c>
      <c r="BF373" t="str">
        <f>HYPERLINK("http://dx.doi.org/10.1038/nature07080","http://dx.doi.org/10.1038/nature07080")</f>
        <v>http://dx.doi.org/10.1038/nature07080</v>
      </c>
      <c r="BG373" t="s">
        <v>74</v>
      </c>
      <c r="BH373" t="s">
        <v>74</v>
      </c>
      <c r="BI373">
        <v>5</v>
      </c>
      <c r="BJ373" t="s">
        <v>3123</v>
      </c>
      <c r="BK373" t="s">
        <v>419</v>
      </c>
      <c r="BL373" t="s">
        <v>3124</v>
      </c>
      <c r="BM373" t="s">
        <v>3557</v>
      </c>
      <c r="BN373">
        <v>18563162</v>
      </c>
      <c r="BO373" t="s">
        <v>74</v>
      </c>
      <c r="BP373" t="s">
        <v>74</v>
      </c>
      <c r="BQ373" t="s">
        <v>74</v>
      </c>
      <c r="BR373" t="s">
        <v>101</v>
      </c>
      <c r="BS373" t="s">
        <v>3558</v>
      </c>
      <c r="BT373" t="str">
        <f>HYPERLINK("https%3A%2F%2Fwww.webofscience.com%2Fwos%2Fwoscc%2Ffull-record%2FWOS:000256839900054","View Full Record in Web of Science")</f>
        <v>View Full Record in Web of Science</v>
      </c>
    </row>
    <row r="374" spans="1:72" x14ac:dyDescent="0.15">
      <c r="A374" t="s">
        <v>72</v>
      </c>
      <c r="B374" t="s">
        <v>3559</v>
      </c>
      <c r="C374" t="s">
        <v>74</v>
      </c>
      <c r="D374" t="s">
        <v>74</v>
      </c>
      <c r="E374" t="s">
        <v>74</v>
      </c>
      <c r="F374" t="s">
        <v>3560</v>
      </c>
      <c r="G374" t="s">
        <v>74</v>
      </c>
      <c r="H374" t="s">
        <v>74</v>
      </c>
      <c r="I374" t="s">
        <v>3561</v>
      </c>
      <c r="J374" t="s">
        <v>3295</v>
      </c>
      <c r="K374" t="s">
        <v>74</v>
      </c>
      <c r="L374" t="s">
        <v>74</v>
      </c>
      <c r="M374" t="s">
        <v>78</v>
      </c>
      <c r="N374" t="s">
        <v>2737</v>
      </c>
      <c r="O374" t="s">
        <v>74</v>
      </c>
      <c r="P374" t="s">
        <v>74</v>
      </c>
      <c r="Q374" t="s">
        <v>74</v>
      </c>
      <c r="R374" t="s">
        <v>74</v>
      </c>
      <c r="S374" t="s">
        <v>74</v>
      </c>
      <c r="T374" t="s">
        <v>74</v>
      </c>
      <c r="U374" t="s">
        <v>3562</v>
      </c>
      <c r="V374" t="s">
        <v>3563</v>
      </c>
      <c r="W374" t="s">
        <v>3564</v>
      </c>
      <c r="X374" t="s">
        <v>3565</v>
      </c>
      <c r="Y374" t="s">
        <v>3566</v>
      </c>
      <c r="Z374" t="s">
        <v>3567</v>
      </c>
      <c r="AA374" t="s">
        <v>3568</v>
      </c>
      <c r="AB374" t="s">
        <v>3569</v>
      </c>
      <c r="AC374" t="s">
        <v>74</v>
      </c>
      <c r="AD374" t="s">
        <v>74</v>
      </c>
      <c r="AE374" t="s">
        <v>74</v>
      </c>
      <c r="AF374" t="s">
        <v>74</v>
      </c>
      <c r="AG374">
        <v>25</v>
      </c>
      <c r="AH374">
        <v>13</v>
      </c>
      <c r="AI374">
        <v>19</v>
      </c>
      <c r="AJ374">
        <v>0</v>
      </c>
      <c r="AK374">
        <v>7</v>
      </c>
      <c r="AL374" t="s">
        <v>3280</v>
      </c>
      <c r="AM374" t="s">
        <v>3281</v>
      </c>
      <c r="AN374" t="s">
        <v>3282</v>
      </c>
      <c r="AO374" t="s">
        <v>3304</v>
      </c>
      <c r="AP374" t="s">
        <v>3305</v>
      </c>
      <c r="AQ374" t="s">
        <v>74</v>
      </c>
      <c r="AR374" t="s">
        <v>3306</v>
      </c>
      <c r="AS374" t="s">
        <v>3307</v>
      </c>
      <c r="AT374" t="s">
        <v>3570</v>
      </c>
      <c r="AU374">
        <v>2008</v>
      </c>
      <c r="AV374">
        <v>35</v>
      </c>
      <c r="AW374">
        <v>12</v>
      </c>
      <c r="AX374" t="s">
        <v>74</v>
      </c>
      <c r="AY374" t="s">
        <v>74</v>
      </c>
      <c r="AZ374" t="s">
        <v>74</v>
      </c>
      <c r="BA374" t="s">
        <v>74</v>
      </c>
      <c r="BB374" t="s">
        <v>74</v>
      </c>
      <c r="BC374" t="s">
        <v>74</v>
      </c>
      <c r="BD374" t="s">
        <v>3571</v>
      </c>
      <c r="BE374" t="s">
        <v>3572</v>
      </c>
      <c r="BF374" t="str">
        <f>HYPERLINK("http://dx.doi.org/10.1029/2008GL033873","http://dx.doi.org/10.1029/2008GL033873")</f>
        <v>http://dx.doi.org/10.1029/2008GL033873</v>
      </c>
      <c r="BG374" t="s">
        <v>74</v>
      </c>
      <c r="BH374" t="s">
        <v>74</v>
      </c>
      <c r="BI374">
        <v>5</v>
      </c>
      <c r="BJ374" t="s">
        <v>3093</v>
      </c>
      <c r="BK374" t="s">
        <v>419</v>
      </c>
      <c r="BL374" t="s">
        <v>3094</v>
      </c>
      <c r="BM374" t="s">
        <v>3573</v>
      </c>
      <c r="BN374" t="s">
        <v>74</v>
      </c>
      <c r="BO374" t="s">
        <v>3290</v>
      </c>
      <c r="BP374" t="s">
        <v>74</v>
      </c>
      <c r="BQ374" t="s">
        <v>74</v>
      </c>
      <c r="BR374" t="s">
        <v>101</v>
      </c>
      <c r="BS374" t="s">
        <v>3574</v>
      </c>
      <c r="BT374" t="str">
        <f>HYPERLINK("https%3A%2F%2Fwww.webofscience.com%2Fwos%2Fwoscc%2Ffull-record%2FWOS:000257051000003","View Full Record in Web of Science")</f>
        <v>View Full Record in Web of Science</v>
      </c>
    </row>
    <row r="375" spans="1:72" x14ac:dyDescent="0.15">
      <c r="A375" t="s">
        <v>72</v>
      </c>
      <c r="B375" t="s">
        <v>3575</v>
      </c>
      <c r="C375" t="s">
        <v>74</v>
      </c>
      <c r="D375" t="s">
        <v>74</v>
      </c>
      <c r="E375" t="s">
        <v>74</v>
      </c>
      <c r="F375" t="s">
        <v>3576</v>
      </c>
      <c r="G375" t="s">
        <v>74</v>
      </c>
      <c r="H375" t="s">
        <v>74</v>
      </c>
      <c r="I375" t="s">
        <v>3577</v>
      </c>
      <c r="J375" t="s">
        <v>3432</v>
      </c>
      <c r="K375" t="s">
        <v>74</v>
      </c>
      <c r="L375" t="s">
        <v>74</v>
      </c>
      <c r="M375" t="s">
        <v>78</v>
      </c>
      <c r="N375" t="s">
        <v>2737</v>
      </c>
      <c r="O375" t="s">
        <v>74</v>
      </c>
      <c r="P375" t="s">
        <v>74</v>
      </c>
      <c r="Q375" t="s">
        <v>74</v>
      </c>
      <c r="R375" t="s">
        <v>74</v>
      </c>
      <c r="S375" t="s">
        <v>74</v>
      </c>
      <c r="T375" t="s">
        <v>74</v>
      </c>
      <c r="U375" t="s">
        <v>3578</v>
      </c>
      <c r="V375" t="s">
        <v>3579</v>
      </c>
      <c r="W375" t="s">
        <v>3580</v>
      </c>
      <c r="X375" t="s">
        <v>3581</v>
      </c>
      <c r="Y375" t="s">
        <v>3582</v>
      </c>
      <c r="Z375" t="s">
        <v>3583</v>
      </c>
      <c r="AA375" t="s">
        <v>3584</v>
      </c>
      <c r="AB375" t="s">
        <v>3585</v>
      </c>
      <c r="AC375" t="s">
        <v>74</v>
      </c>
      <c r="AD375" t="s">
        <v>74</v>
      </c>
      <c r="AE375" t="s">
        <v>74</v>
      </c>
      <c r="AF375" t="s">
        <v>74</v>
      </c>
      <c r="AG375">
        <v>55</v>
      </c>
      <c r="AH375">
        <v>126</v>
      </c>
      <c r="AI375">
        <v>137</v>
      </c>
      <c r="AJ375">
        <v>0</v>
      </c>
      <c r="AK375">
        <v>35</v>
      </c>
      <c r="AL375" t="s">
        <v>3280</v>
      </c>
      <c r="AM375" t="s">
        <v>3281</v>
      </c>
      <c r="AN375" t="s">
        <v>3282</v>
      </c>
      <c r="AO375" t="s">
        <v>3439</v>
      </c>
      <c r="AP375" t="s">
        <v>3440</v>
      </c>
      <c r="AQ375" t="s">
        <v>74</v>
      </c>
      <c r="AR375" t="s">
        <v>3441</v>
      </c>
      <c r="AS375" t="s">
        <v>3442</v>
      </c>
      <c r="AT375" t="s">
        <v>3570</v>
      </c>
      <c r="AU375">
        <v>2008</v>
      </c>
      <c r="AV375">
        <v>113</v>
      </c>
      <c r="AW375" t="s">
        <v>3444</v>
      </c>
      <c r="AX375" t="s">
        <v>74</v>
      </c>
      <c r="AY375" t="s">
        <v>74</v>
      </c>
      <c r="AZ375" t="s">
        <v>74</v>
      </c>
      <c r="BA375" t="s">
        <v>74</v>
      </c>
      <c r="BB375" t="s">
        <v>74</v>
      </c>
      <c r="BC375" t="s">
        <v>74</v>
      </c>
      <c r="BD375" t="s">
        <v>3586</v>
      </c>
      <c r="BE375" t="s">
        <v>3587</v>
      </c>
      <c r="BF375" t="str">
        <f>HYPERLINK("http://dx.doi.org/10.1029/2006JC004067","http://dx.doi.org/10.1029/2006JC004067")</f>
        <v>http://dx.doi.org/10.1029/2006JC004067</v>
      </c>
      <c r="BG375" t="s">
        <v>74</v>
      </c>
      <c r="BH375" t="s">
        <v>74</v>
      </c>
      <c r="BI375">
        <v>13</v>
      </c>
      <c r="BJ375" t="s">
        <v>3447</v>
      </c>
      <c r="BK375" t="s">
        <v>419</v>
      </c>
      <c r="BL375" t="s">
        <v>3447</v>
      </c>
      <c r="BM375" t="s">
        <v>3588</v>
      </c>
      <c r="BN375" t="s">
        <v>74</v>
      </c>
      <c r="BO375" t="s">
        <v>3589</v>
      </c>
      <c r="BP375" t="s">
        <v>74</v>
      </c>
      <c r="BQ375" t="s">
        <v>74</v>
      </c>
      <c r="BR375" t="s">
        <v>101</v>
      </c>
      <c r="BS375" t="s">
        <v>3590</v>
      </c>
      <c r="BT375" t="str">
        <f>HYPERLINK("https%3A%2F%2Fwww.webofscience.com%2Fwos%2Fwoscc%2Ffull-record%2FWOS:000257058000001","View Full Record in Web of Science")</f>
        <v>View Full Record in Web of Science</v>
      </c>
    </row>
    <row r="376" spans="1:72" x14ac:dyDescent="0.15">
      <c r="A376" t="s">
        <v>72</v>
      </c>
      <c r="B376" t="s">
        <v>3591</v>
      </c>
      <c r="C376" t="s">
        <v>74</v>
      </c>
      <c r="D376" t="s">
        <v>74</v>
      </c>
      <c r="E376" t="s">
        <v>74</v>
      </c>
      <c r="F376" t="s">
        <v>3592</v>
      </c>
      <c r="G376" t="s">
        <v>74</v>
      </c>
      <c r="H376" t="s">
        <v>74</v>
      </c>
      <c r="I376" t="s">
        <v>3593</v>
      </c>
      <c r="J376" t="s">
        <v>3594</v>
      </c>
      <c r="K376" t="s">
        <v>74</v>
      </c>
      <c r="L376" t="s">
        <v>74</v>
      </c>
      <c r="M376" t="s">
        <v>78</v>
      </c>
      <c r="N376" t="s">
        <v>2737</v>
      </c>
      <c r="O376" t="s">
        <v>74</v>
      </c>
      <c r="P376" t="s">
        <v>74</v>
      </c>
      <c r="Q376" t="s">
        <v>74</v>
      </c>
      <c r="R376" t="s">
        <v>74</v>
      </c>
      <c r="S376" t="s">
        <v>74</v>
      </c>
      <c r="T376" t="s">
        <v>74</v>
      </c>
      <c r="U376" t="s">
        <v>3595</v>
      </c>
      <c r="V376" t="s">
        <v>3596</v>
      </c>
      <c r="W376" t="s">
        <v>3597</v>
      </c>
      <c r="X376" t="s">
        <v>3598</v>
      </c>
      <c r="Y376" t="s">
        <v>3599</v>
      </c>
      <c r="Z376" t="s">
        <v>3600</v>
      </c>
      <c r="AA376" t="s">
        <v>3601</v>
      </c>
      <c r="AB376" t="s">
        <v>3602</v>
      </c>
      <c r="AC376" t="s">
        <v>3603</v>
      </c>
      <c r="AD376" t="s">
        <v>3604</v>
      </c>
      <c r="AE376" t="s">
        <v>74</v>
      </c>
      <c r="AF376" t="s">
        <v>74</v>
      </c>
      <c r="AG376">
        <v>71</v>
      </c>
      <c r="AH376">
        <v>28</v>
      </c>
      <c r="AI376">
        <v>34</v>
      </c>
      <c r="AJ376">
        <v>0</v>
      </c>
      <c r="AK376">
        <v>19</v>
      </c>
      <c r="AL376" t="s">
        <v>3280</v>
      </c>
      <c r="AM376" t="s">
        <v>3281</v>
      </c>
      <c r="AN376" t="s">
        <v>3282</v>
      </c>
      <c r="AO376" t="s">
        <v>3605</v>
      </c>
      <c r="AP376" t="s">
        <v>3606</v>
      </c>
      <c r="AQ376" t="s">
        <v>74</v>
      </c>
      <c r="AR376" t="s">
        <v>3594</v>
      </c>
      <c r="AS376" t="s">
        <v>3607</v>
      </c>
      <c r="AT376" t="s">
        <v>3570</v>
      </c>
      <c r="AU376">
        <v>2008</v>
      </c>
      <c r="AV376">
        <v>23</v>
      </c>
      <c r="AW376">
        <v>2</v>
      </c>
      <c r="AX376" t="s">
        <v>74</v>
      </c>
      <c r="AY376" t="s">
        <v>74</v>
      </c>
      <c r="AZ376" t="s">
        <v>74</v>
      </c>
      <c r="BA376" t="s">
        <v>74</v>
      </c>
      <c r="BB376" t="s">
        <v>74</v>
      </c>
      <c r="BC376" t="s">
        <v>74</v>
      </c>
      <c r="BD376" t="s">
        <v>3608</v>
      </c>
      <c r="BE376" t="s">
        <v>3609</v>
      </c>
      <c r="BF376" t="str">
        <f>HYPERLINK("http://dx.doi.org/10.1029/2007PA001576","http://dx.doi.org/10.1029/2007PA001576")</f>
        <v>http://dx.doi.org/10.1029/2007PA001576</v>
      </c>
      <c r="BG376" t="s">
        <v>74</v>
      </c>
      <c r="BH376" t="s">
        <v>74</v>
      </c>
      <c r="BI376">
        <v>12</v>
      </c>
      <c r="BJ376" t="s">
        <v>3610</v>
      </c>
      <c r="BK376" t="s">
        <v>419</v>
      </c>
      <c r="BL376" t="s">
        <v>3611</v>
      </c>
      <c r="BM376" t="s">
        <v>3612</v>
      </c>
      <c r="BN376" t="s">
        <v>74</v>
      </c>
      <c r="BO376" t="s">
        <v>3613</v>
      </c>
      <c r="BP376" t="s">
        <v>74</v>
      </c>
      <c r="BQ376" t="s">
        <v>74</v>
      </c>
      <c r="BR376" t="s">
        <v>101</v>
      </c>
      <c r="BS376" t="s">
        <v>3614</v>
      </c>
      <c r="BT376" t="str">
        <f>HYPERLINK("https%3A%2F%2Fwww.webofscience.com%2Fwos%2Fwoscc%2Ffull-record%2FWOS:000257060500001","View Full Record in Web of Science")</f>
        <v>View Full Record in Web of Science</v>
      </c>
    </row>
    <row r="377" spans="1:72" x14ac:dyDescent="0.15">
      <c r="A377" t="s">
        <v>72</v>
      </c>
      <c r="B377" t="s">
        <v>3615</v>
      </c>
      <c r="C377" t="s">
        <v>74</v>
      </c>
      <c r="D377" t="s">
        <v>74</v>
      </c>
      <c r="E377" t="s">
        <v>74</v>
      </c>
      <c r="F377" t="s">
        <v>3616</v>
      </c>
      <c r="G377" t="s">
        <v>74</v>
      </c>
      <c r="H377" t="s">
        <v>74</v>
      </c>
      <c r="I377" t="s">
        <v>3617</v>
      </c>
      <c r="J377" t="s">
        <v>3618</v>
      </c>
      <c r="K377" t="s">
        <v>74</v>
      </c>
      <c r="L377" t="s">
        <v>74</v>
      </c>
      <c r="M377" t="s">
        <v>78</v>
      </c>
      <c r="N377" t="s">
        <v>2737</v>
      </c>
      <c r="O377" t="s">
        <v>74</v>
      </c>
      <c r="P377" t="s">
        <v>74</v>
      </c>
      <c r="Q377" t="s">
        <v>74</v>
      </c>
      <c r="R377" t="s">
        <v>74</v>
      </c>
      <c r="S377" t="s">
        <v>74</v>
      </c>
      <c r="T377" t="s">
        <v>74</v>
      </c>
      <c r="U377" t="s">
        <v>3619</v>
      </c>
      <c r="V377" t="s">
        <v>3620</v>
      </c>
      <c r="W377" t="s">
        <v>3621</v>
      </c>
      <c r="X377" t="s">
        <v>3622</v>
      </c>
      <c r="Y377" t="s">
        <v>3623</v>
      </c>
      <c r="Z377" t="s">
        <v>3624</v>
      </c>
      <c r="AA377" t="s">
        <v>74</v>
      </c>
      <c r="AB377" t="s">
        <v>3625</v>
      </c>
      <c r="AC377" t="s">
        <v>3626</v>
      </c>
      <c r="AD377" t="s">
        <v>3626</v>
      </c>
      <c r="AE377" t="s">
        <v>3627</v>
      </c>
      <c r="AF377" t="s">
        <v>74</v>
      </c>
      <c r="AG377">
        <v>68</v>
      </c>
      <c r="AH377">
        <v>37</v>
      </c>
      <c r="AI377">
        <v>41</v>
      </c>
      <c r="AJ377">
        <v>0</v>
      </c>
      <c r="AK377">
        <v>14</v>
      </c>
      <c r="AL377" t="s">
        <v>3628</v>
      </c>
      <c r="AM377" t="s">
        <v>3629</v>
      </c>
      <c r="AN377" t="s">
        <v>3630</v>
      </c>
      <c r="AO377" t="s">
        <v>3631</v>
      </c>
      <c r="AP377" t="s">
        <v>74</v>
      </c>
      <c r="AQ377" t="s">
        <v>74</v>
      </c>
      <c r="AR377" t="s">
        <v>3618</v>
      </c>
      <c r="AS377" t="s">
        <v>3632</v>
      </c>
      <c r="AT377" t="s">
        <v>3570</v>
      </c>
      <c r="AU377">
        <v>2008</v>
      </c>
      <c r="AV377">
        <v>3</v>
      </c>
      <c r="AW377">
        <v>6</v>
      </c>
      <c r="AX377" t="s">
        <v>74</v>
      </c>
      <c r="AY377" t="s">
        <v>74</v>
      </c>
      <c r="AZ377" t="s">
        <v>74</v>
      </c>
      <c r="BA377" t="s">
        <v>74</v>
      </c>
      <c r="BB377" t="s">
        <v>74</v>
      </c>
      <c r="BC377" t="s">
        <v>74</v>
      </c>
      <c r="BD377" t="s">
        <v>3633</v>
      </c>
      <c r="BE377" t="s">
        <v>3634</v>
      </c>
      <c r="BF377" t="str">
        <f>HYPERLINK("http://dx.doi.org/10.1371/journal.pone.0002480","http://dx.doi.org/10.1371/journal.pone.0002480")</f>
        <v>http://dx.doi.org/10.1371/journal.pone.0002480</v>
      </c>
      <c r="BG377" t="s">
        <v>74</v>
      </c>
      <c r="BH377" t="s">
        <v>74</v>
      </c>
      <c r="BI377">
        <v>11</v>
      </c>
      <c r="BJ377" t="s">
        <v>3123</v>
      </c>
      <c r="BK377" t="s">
        <v>419</v>
      </c>
      <c r="BL377" t="s">
        <v>3124</v>
      </c>
      <c r="BM377" t="s">
        <v>3635</v>
      </c>
      <c r="BN377">
        <v>18560568</v>
      </c>
      <c r="BO377" t="s">
        <v>3636</v>
      </c>
      <c r="BP377" t="s">
        <v>74</v>
      </c>
      <c r="BQ377" t="s">
        <v>74</v>
      </c>
      <c r="BR377" t="s">
        <v>101</v>
      </c>
      <c r="BS377" t="s">
        <v>3637</v>
      </c>
      <c r="BT377" t="str">
        <f>HYPERLINK("https%3A%2F%2Fwww.webofscience.com%2Fwos%2Fwoscc%2Ffull-record%2FWOS:000263280700051","View Full Record in Web of Science")</f>
        <v>View Full Record in Web of Science</v>
      </c>
    </row>
    <row r="378" spans="1:72" x14ac:dyDescent="0.15">
      <c r="A378" t="s">
        <v>72</v>
      </c>
      <c r="B378" t="s">
        <v>3638</v>
      </c>
      <c r="C378" t="s">
        <v>74</v>
      </c>
      <c r="D378" t="s">
        <v>74</v>
      </c>
      <c r="E378" t="s">
        <v>74</v>
      </c>
      <c r="F378" t="s">
        <v>3639</v>
      </c>
      <c r="G378" t="s">
        <v>74</v>
      </c>
      <c r="H378" t="s">
        <v>74</v>
      </c>
      <c r="I378" t="s">
        <v>3640</v>
      </c>
      <c r="J378" t="s">
        <v>3270</v>
      </c>
      <c r="K378" t="s">
        <v>74</v>
      </c>
      <c r="L378" t="s">
        <v>74</v>
      </c>
      <c r="M378" t="s">
        <v>78</v>
      </c>
      <c r="N378" t="s">
        <v>2737</v>
      </c>
      <c r="O378" t="s">
        <v>74</v>
      </c>
      <c r="P378" t="s">
        <v>74</v>
      </c>
      <c r="Q378" t="s">
        <v>74</v>
      </c>
      <c r="R378" t="s">
        <v>74</v>
      </c>
      <c r="S378" t="s">
        <v>74</v>
      </c>
      <c r="T378" t="s">
        <v>3641</v>
      </c>
      <c r="U378" t="s">
        <v>3642</v>
      </c>
      <c r="V378" t="s">
        <v>3643</v>
      </c>
      <c r="W378" t="s">
        <v>3644</v>
      </c>
      <c r="X378" t="s">
        <v>3645</v>
      </c>
      <c r="Y378" t="s">
        <v>3646</v>
      </c>
      <c r="Z378" t="s">
        <v>3647</v>
      </c>
      <c r="AA378" t="s">
        <v>3648</v>
      </c>
      <c r="AB378" t="s">
        <v>3649</v>
      </c>
      <c r="AC378" t="s">
        <v>74</v>
      </c>
      <c r="AD378" t="s">
        <v>74</v>
      </c>
      <c r="AE378" t="s">
        <v>74</v>
      </c>
      <c r="AF378" t="s">
        <v>74</v>
      </c>
      <c r="AG378">
        <v>37</v>
      </c>
      <c r="AH378">
        <v>12</v>
      </c>
      <c r="AI378">
        <v>15</v>
      </c>
      <c r="AJ378">
        <v>0</v>
      </c>
      <c r="AK378">
        <v>6</v>
      </c>
      <c r="AL378" t="s">
        <v>3280</v>
      </c>
      <c r="AM378" t="s">
        <v>3281</v>
      </c>
      <c r="AN378" t="s">
        <v>3282</v>
      </c>
      <c r="AO378" t="s">
        <v>3283</v>
      </c>
      <c r="AP378" t="s">
        <v>74</v>
      </c>
      <c r="AQ378" t="s">
        <v>74</v>
      </c>
      <c r="AR378" t="s">
        <v>3284</v>
      </c>
      <c r="AS378" t="s">
        <v>3285</v>
      </c>
      <c r="AT378" t="s">
        <v>3650</v>
      </c>
      <c r="AU378">
        <v>2008</v>
      </c>
      <c r="AV378">
        <v>9</v>
      </c>
      <c r="AW378" t="s">
        <v>74</v>
      </c>
      <c r="AX378" t="s">
        <v>74</v>
      </c>
      <c r="AY378" t="s">
        <v>74</v>
      </c>
      <c r="AZ378" t="s">
        <v>74</v>
      </c>
      <c r="BA378" t="s">
        <v>74</v>
      </c>
      <c r="BB378" t="s">
        <v>74</v>
      </c>
      <c r="BC378" t="s">
        <v>74</v>
      </c>
      <c r="BD378" t="s">
        <v>3651</v>
      </c>
      <c r="BE378" t="s">
        <v>3652</v>
      </c>
      <c r="BF378" t="str">
        <f>HYPERLINK("http://dx.doi.org/10.1029/2007GC001935","http://dx.doi.org/10.1029/2007GC001935")</f>
        <v>http://dx.doi.org/10.1029/2007GC001935</v>
      </c>
      <c r="BG378" t="s">
        <v>74</v>
      </c>
      <c r="BH378" t="s">
        <v>74</v>
      </c>
      <c r="BI378">
        <v>11</v>
      </c>
      <c r="BJ378" t="s">
        <v>98</v>
      </c>
      <c r="BK378" t="s">
        <v>419</v>
      </c>
      <c r="BL378" t="s">
        <v>98</v>
      </c>
      <c r="BM378" t="s">
        <v>3653</v>
      </c>
      <c r="BN378" t="s">
        <v>74</v>
      </c>
      <c r="BO378" t="s">
        <v>74</v>
      </c>
      <c r="BP378" t="s">
        <v>74</v>
      </c>
      <c r="BQ378" t="s">
        <v>74</v>
      </c>
      <c r="BR378" t="s">
        <v>101</v>
      </c>
      <c r="BS378" t="s">
        <v>3654</v>
      </c>
      <c r="BT378" t="str">
        <f>HYPERLINK("https%3A%2F%2Fwww.webofscience.com%2Fwos%2Fwoscc%2Ffull-record%2FWOS:000257048700002","View Full Record in Web of Science")</f>
        <v>View Full Record in Web of Science</v>
      </c>
    </row>
    <row r="379" spans="1:72" x14ac:dyDescent="0.15">
      <c r="A379" t="s">
        <v>72</v>
      </c>
      <c r="B379" t="s">
        <v>3655</v>
      </c>
      <c r="C379" t="s">
        <v>74</v>
      </c>
      <c r="D379" t="s">
        <v>74</v>
      </c>
      <c r="E379" t="s">
        <v>74</v>
      </c>
      <c r="F379" t="s">
        <v>3656</v>
      </c>
      <c r="G379" t="s">
        <v>74</v>
      </c>
      <c r="H379" t="s">
        <v>74</v>
      </c>
      <c r="I379" t="s">
        <v>3657</v>
      </c>
      <c r="J379" t="s">
        <v>3658</v>
      </c>
      <c r="K379" t="s">
        <v>74</v>
      </c>
      <c r="L379" t="s">
        <v>74</v>
      </c>
      <c r="M379" t="s">
        <v>78</v>
      </c>
      <c r="N379" t="s">
        <v>2737</v>
      </c>
      <c r="O379" t="s">
        <v>74</v>
      </c>
      <c r="P379" t="s">
        <v>74</v>
      </c>
      <c r="Q379" t="s">
        <v>74</v>
      </c>
      <c r="R379" t="s">
        <v>74</v>
      </c>
      <c r="S379" t="s">
        <v>74</v>
      </c>
      <c r="T379" t="s">
        <v>74</v>
      </c>
      <c r="U379" t="s">
        <v>3659</v>
      </c>
      <c r="V379" t="s">
        <v>3660</v>
      </c>
      <c r="W379" t="s">
        <v>3661</v>
      </c>
      <c r="X379" t="s">
        <v>3662</v>
      </c>
      <c r="Y379" t="s">
        <v>3663</v>
      </c>
      <c r="Z379" t="s">
        <v>3664</v>
      </c>
      <c r="AA379" t="s">
        <v>3665</v>
      </c>
      <c r="AB379" t="s">
        <v>3666</v>
      </c>
      <c r="AC379" t="s">
        <v>3667</v>
      </c>
      <c r="AD379" t="s">
        <v>2792</v>
      </c>
      <c r="AE379" t="s">
        <v>74</v>
      </c>
      <c r="AF379" t="s">
        <v>74</v>
      </c>
      <c r="AG379">
        <v>46</v>
      </c>
      <c r="AH379">
        <v>31</v>
      </c>
      <c r="AI379">
        <v>38</v>
      </c>
      <c r="AJ379">
        <v>4</v>
      </c>
      <c r="AK379">
        <v>38</v>
      </c>
      <c r="AL379" t="s">
        <v>3280</v>
      </c>
      <c r="AM379" t="s">
        <v>3281</v>
      </c>
      <c r="AN379" t="s">
        <v>3282</v>
      </c>
      <c r="AO379" t="s">
        <v>3668</v>
      </c>
      <c r="AP379" t="s">
        <v>3669</v>
      </c>
      <c r="AQ379" t="s">
        <v>74</v>
      </c>
      <c r="AR379" t="s">
        <v>3670</v>
      </c>
      <c r="AS379" t="s">
        <v>3671</v>
      </c>
      <c r="AT379" t="s">
        <v>3650</v>
      </c>
      <c r="AU379">
        <v>2008</v>
      </c>
      <c r="AV379">
        <v>22</v>
      </c>
      <c r="AW379">
        <v>2</v>
      </c>
      <c r="AX379" t="s">
        <v>74</v>
      </c>
      <c r="AY379" t="s">
        <v>74</v>
      </c>
      <c r="AZ379" t="s">
        <v>74</v>
      </c>
      <c r="BA379" t="s">
        <v>74</v>
      </c>
      <c r="BB379" t="s">
        <v>74</v>
      </c>
      <c r="BC379" t="s">
        <v>74</v>
      </c>
      <c r="BD379" t="s">
        <v>3672</v>
      </c>
      <c r="BE379" t="s">
        <v>3673</v>
      </c>
      <c r="BF379" t="str">
        <f>HYPERLINK("http://dx.doi.org/10.1029/2006GB002717","http://dx.doi.org/10.1029/2006GB002717")</f>
        <v>http://dx.doi.org/10.1029/2006GB002717</v>
      </c>
      <c r="BG379" t="s">
        <v>74</v>
      </c>
      <c r="BH379" t="s">
        <v>74</v>
      </c>
      <c r="BI379">
        <v>15</v>
      </c>
      <c r="BJ379" t="s">
        <v>3674</v>
      </c>
      <c r="BK379" t="s">
        <v>419</v>
      </c>
      <c r="BL379" t="s">
        <v>3675</v>
      </c>
      <c r="BM379" t="s">
        <v>3676</v>
      </c>
      <c r="BN379" t="s">
        <v>74</v>
      </c>
      <c r="BO379" t="s">
        <v>3033</v>
      </c>
      <c r="BP379" t="s">
        <v>74</v>
      </c>
      <c r="BQ379" t="s">
        <v>74</v>
      </c>
      <c r="BR379" t="s">
        <v>101</v>
      </c>
      <c r="BS379" t="s">
        <v>3677</v>
      </c>
      <c r="BT379" t="str">
        <f>HYPERLINK("https%3A%2F%2Fwww.webofscience.com%2Fwos%2Fwoscc%2Ffull-record%2FWOS:000257053400001","View Full Record in Web of Science")</f>
        <v>View Full Record in Web of Science</v>
      </c>
    </row>
    <row r="380" spans="1:72" x14ac:dyDescent="0.15">
      <c r="A380" t="s">
        <v>72</v>
      </c>
      <c r="B380" t="s">
        <v>3678</v>
      </c>
      <c r="C380" t="s">
        <v>74</v>
      </c>
      <c r="D380" t="s">
        <v>74</v>
      </c>
      <c r="E380" t="s">
        <v>74</v>
      </c>
      <c r="F380" t="s">
        <v>3679</v>
      </c>
      <c r="G380" t="s">
        <v>74</v>
      </c>
      <c r="H380" t="s">
        <v>74</v>
      </c>
      <c r="I380" t="s">
        <v>3680</v>
      </c>
      <c r="J380" t="s">
        <v>3681</v>
      </c>
      <c r="K380" t="s">
        <v>74</v>
      </c>
      <c r="L380" t="s">
        <v>74</v>
      </c>
      <c r="M380" t="s">
        <v>78</v>
      </c>
      <c r="N380" t="s">
        <v>3318</v>
      </c>
      <c r="O380" t="s">
        <v>3682</v>
      </c>
      <c r="P380" t="s">
        <v>3683</v>
      </c>
      <c r="Q380" t="s">
        <v>3684</v>
      </c>
      <c r="R380" t="s">
        <v>74</v>
      </c>
      <c r="S380" t="s">
        <v>74</v>
      </c>
      <c r="T380" t="s">
        <v>3685</v>
      </c>
      <c r="U380" t="s">
        <v>3686</v>
      </c>
      <c r="V380" t="s">
        <v>3687</v>
      </c>
      <c r="W380" t="s">
        <v>3688</v>
      </c>
      <c r="X380" t="s">
        <v>3689</v>
      </c>
      <c r="Y380" t="s">
        <v>3690</v>
      </c>
      <c r="Z380" t="s">
        <v>3691</v>
      </c>
      <c r="AA380" t="s">
        <v>74</v>
      </c>
      <c r="AB380" t="s">
        <v>3692</v>
      </c>
      <c r="AC380" t="s">
        <v>74</v>
      </c>
      <c r="AD380" t="s">
        <v>74</v>
      </c>
      <c r="AE380" t="s">
        <v>74</v>
      </c>
      <c r="AF380" t="s">
        <v>74</v>
      </c>
      <c r="AG380">
        <v>131</v>
      </c>
      <c r="AH380">
        <v>20</v>
      </c>
      <c r="AI380">
        <v>20</v>
      </c>
      <c r="AJ380">
        <v>0</v>
      </c>
      <c r="AK380">
        <v>20</v>
      </c>
      <c r="AL380" t="s">
        <v>3007</v>
      </c>
      <c r="AM380" t="s">
        <v>3008</v>
      </c>
      <c r="AN380" t="s">
        <v>3009</v>
      </c>
      <c r="AO380" t="s">
        <v>3693</v>
      </c>
      <c r="AP380" t="s">
        <v>3694</v>
      </c>
      <c r="AQ380" t="s">
        <v>74</v>
      </c>
      <c r="AR380" t="s">
        <v>3695</v>
      </c>
      <c r="AS380" t="s">
        <v>3696</v>
      </c>
      <c r="AT380" t="s">
        <v>3697</v>
      </c>
      <c r="AU380">
        <v>2008</v>
      </c>
      <c r="AV380">
        <v>76</v>
      </c>
      <c r="AW380">
        <v>3</v>
      </c>
      <c r="AX380" t="s">
        <v>74</v>
      </c>
      <c r="AY380" t="s">
        <v>74</v>
      </c>
      <c r="AZ380" t="s">
        <v>74</v>
      </c>
      <c r="BA380" t="s">
        <v>74</v>
      </c>
      <c r="BB380">
        <v>208</v>
      </c>
      <c r="BC380">
        <v>216</v>
      </c>
      <c r="BD380" t="s">
        <v>74</v>
      </c>
      <c r="BE380" t="s">
        <v>3698</v>
      </c>
      <c r="BF380" t="str">
        <f>HYPERLINK("http://dx.doi.org/10.1016/j.brainresbull.2008.02.018","http://dx.doi.org/10.1016/j.brainresbull.2008.02.018")</f>
        <v>http://dx.doi.org/10.1016/j.brainresbull.2008.02.018</v>
      </c>
      <c r="BG380" t="s">
        <v>74</v>
      </c>
      <c r="BH380" t="s">
        <v>74</v>
      </c>
      <c r="BI380">
        <v>9</v>
      </c>
      <c r="BJ380" t="s">
        <v>3699</v>
      </c>
      <c r="BK380" t="s">
        <v>99</v>
      </c>
      <c r="BL380" t="s">
        <v>3700</v>
      </c>
      <c r="BM380" t="s">
        <v>3701</v>
      </c>
      <c r="BN380">
        <v>18498933</v>
      </c>
      <c r="BO380" t="s">
        <v>74</v>
      </c>
      <c r="BP380" t="s">
        <v>74</v>
      </c>
      <c r="BQ380" t="s">
        <v>74</v>
      </c>
      <c r="BR380" t="s">
        <v>101</v>
      </c>
      <c r="BS380" t="s">
        <v>3702</v>
      </c>
      <c r="BT380" t="str">
        <f>HYPERLINK("https%3A%2F%2Fwww.webofscience.com%2Fwos%2Fwoscc%2Ffull-record%2FWOS:000256724000006","View Full Record in Web of Science")</f>
        <v>View Full Record in Web of Science</v>
      </c>
    </row>
    <row r="381" spans="1:72" x14ac:dyDescent="0.15">
      <c r="A381" t="s">
        <v>72</v>
      </c>
      <c r="B381" t="s">
        <v>3703</v>
      </c>
      <c r="C381" t="s">
        <v>74</v>
      </c>
      <c r="D381" t="s">
        <v>74</v>
      </c>
      <c r="E381" t="s">
        <v>74</v>
      </c>
      <c r="F381" t="s">
        <v>3704</v>
      </c>
      <c r="G381" t="s">
        <v>74</v>
      </c>
      <c r="H381" t="s">
        <v>74</v>
      </c>
      <c r="I381" t="s">
        <v>3705</v>
      </c>
      <c r="J381" t="s">
        <v>3706</v>
      </c>
      <c r="K381" t="s">
        <v>74</v>
      </c>
      <c r="L381" t="s">
        <v>74</v>
      </c>
      <c r="M381" t="s">
        <v>78</v>
      </c>
      <c r="N381" t="s">
        <v>2958</v>
      </c>
      <c r="O381" t="s">
        <v>74</v>
      </c>
      <c r="P381" t="s">
        <v>74</v>
      </c>
      <c r="Q381" t="s">
        <v>74</v>
      </c>
      <c r="R381" t="s">
        <v>74</v>
      </c>
      <c r="S381" t="s">
        <v>74</v>
      </c>
      <c r="T381" t="s">
        <v>74</v>
      </c>
      <c r="U381" t="s">
        <v>3707</v>
      </c>
      <c r="V381" t="s">
        <v>3708</v>
      </c>
      <c r="W381" t="s">
        <v>3709</v>
      </c>
      <c r="X381" t="s">
        <v>3710</v>
      </c>
      <c r="Y381" t="s">
        <v>3711</v>
      </c>
      <c r="Z381" t="s">
        <v>3712</v>
      </c>
      <c r="AA381" t="s">
        <v>3713</v>
      </c>
      <c r="AB381" t="s">
        <v>3714</v>
      </c>
      <c r="AC381" t="s">
        <v>3715</v>
      </c>
      <c r="AD381" t="s">
        <v>3031</v>
      </c>
      <c r="AE381" t="s">
        <v>74</v>
      </c>
      <c r="AF381" t="s">
        <v>74</v>
      </c>
      <c r="AG381">
        <v>135</v>
      </c>
      <c r="AH381">
        <v>153</v>
      </c>
      <c r="AI381">
        <v>161</v>
      </c>
      <c r="AJ381">
        <v>3</v>
      </c>
      <c r="AK381">
        <v>94</v>
      </c>
      <c r="AL381" t="s">
        <v>3716</v>
      </c>
      <c r="AM381" t="s">
        <v>3717</v>
      </c>
      <c r="AN381" t="s">
        <v>3718</v>
      </c>
      <c r="AO381" t="s">
        <v>3719</v>
      </c>
      <c r="AP381" t="s">
        <v>3720</v>
      </c>
      <c r="AQ381" t="s">
        <v>74</v>
      </c>
      <c r="AR381" t="s">
        <v>3721</v>
      </c>
      <c r="AS381" t="s">
        <v>3722</v>
      </c>
      <c r="AT381" t="s">
        <v>3697</v>
      </c>
      <c r="AU381">
        <v>2008</v>
      </c>
      <c r="AV381">
        <v>21</v>
      </c>
      <c r="AW381">
        <v>12</v>
      </c>
      <c r="AX381" t="s">
        <v>74</v>
      </c>
      <c r="AY381" t="s">
        <v>74</v>
      </c>
      <c r="AZ381" t="s">
        <v>74</v>
      </c>
      <c r="BA381" t="s">
        <v>74</v>
      </c>
      <c r="BB381">
        <v>2721</v>
      </c>
      <c r="BC381">
        <v>2751</v>
      </c>
      <c r="BD381" t="s">
        <v>74</v>
      </c>
      <c r="BE381" t="s">
        <v>3723</v>
      </c>
      <c r="BF381" t="str">
        <f>HYPERLINK("http://dx.doi.org/10.1175/2007JCLI1905.1","http://dx.doi.org/10.1175/2007JCLI1905.1")</f>
        <v>http://dx.doi.org/10.1175/2007JCLI1905.1</v>
      </c>
      <c r="BG381" t="s">
        <v>74</v>
      </c>
      <c r="BH381" t="s">
        <v>74</v>
      </c>
      <c r="BI381">
        <v>31</v>
      </c>
      <c r="BJ381" t="s">
        <v>3071</v>
      </c>
      <c r="BK381" t="s">
        <v>419</v>
      </c>
      <c r="BL381" t="s">
        <v>3071</v>
      </c>
      <c r="BM381" t="s">
        <v>3724</v>
      </c>
      <c r="BN381" t="s">
        <v>74</v>
      </c>
      <c r="BO381" t="s">
        <v>3725</v>
      </c>
      <c r="BP381" t="s">
        <v>74</v>
      </c>
      <c r="BQ381" t="s">
        <v>74</v>
      </c>
      <c r="BR381" t="s">
        <v>101</v>
      </c>
      <c r="BS381" t="s">
        <v>3726</v>
      </c>
      <c r="BT381" t="str">
        <f>HYPERLINK("https%3A%2F%2Fwww.webofscience.com%2Fwos%2Fwoscc%2Ffull-record%2FWOS:000257246700001","View Full Record in Web of Science")</f>
        <v>View Full Record in Web of Science</v>
      </c>
    </row>
    <row r="382" spans="1:72" x14ac:dyDescent="0.15">
      <c r="A382" t="s">
        <v>72</v>
      </c>
      <c r="B382" t="s">
        <v>3727</v>
      </c>
      <c r="C382" t="s">
        <v>74</v>
      </c>
      <c r="D382" t="s">
        <v>74</v>
      </c>
      <c r="E382" t="s">
        <v>74</v>
      </c>
      <c r="F382" t="s">
        <v>3728</v>
      </c>
      <c r="G382" t="s">
        <v>74</v>
      </c>
      <c r="H382" t="s">
        <v>74</v>
      </c>
      <c r="I382" t="s">
        <v>3729</v>
      </c>
      <c r="J382" t="s">
        <v>3706</v>
      </c>
      <c r="K382" t="s">
        <v>74</v>
      </c>
      <c r="L382" t="s">
        <v>74</v>
      </c>
      <c r="M382" t="s">
        <v>78</v>
      </c>
      <c r="N382" t="s">
        <v>2737</v>
      </c>
      <c r="O382" t="s">
        <v>74</v>
      </c>
      <c r="P382" t="s">
        <v>74</v>
      </c>
      <c r="Q382" t="s">
        <v>74</v>
      </c>
      <c r="R382" t="s">
        <v>74</v>
      </c>
      <c r="S382" t="s">
        <v>74</v>
      </c>
      <c r="T382" t="s">
        <v>74</v>
      </c>
      <c r="U382" t="s">
        <v>3730</v>
      </c>
      <c r="V382" t="s">
        <v>3731</v>
      </c>
      <c r="W382" t="s">
        <v>3732</v>
      </c>
      <c r="X382" t="s">
        <v>3733</v>
      </c>
      <c r="Y382" t="s">
        <v>3734</v>
      </c>
      <c r="Z382" t="s">
        <v>3735</v>
      </c>
      <c r="AA382" t="s">
        <v>3736</v>
      </c>
      <c r="AB382" t="s">
        <v>3737</v>
      </c>
      <c r="AC382" t="s">
        <v>74</v>
      </c>
      <c r="AD382" t="s">
        <v>74</v>
      </c>
      <c r="AE382" t="s">
        <v>74</v>
      </c>
      <c r="AF382" t="s">
        <v>74</v>
      </c>
      <c r="AG382">
        <v>52</v>
      </c>
      <c r="AH382">
        <v>158</v>
      </c>
      <c r="AI382">
        <v>169</v>
      </c>
      <c r="AJ382">
        <v>1</v>
      </c>
      <c r="AK382">
        <v>40</v>
      </c>
      <c r="AL382" t="s">
        <v>3716</v>
      </c>
      <c r="AM382" t="s">
        <v>3717</v>
      </c>
      <c r="AN382" t="s">
        <v>3738</v>
      </c>
      <c r="AO382" t="s">
        <v>3719</v>
      </c>
      <c r="AP382" t="s">
        <v>3720</v>
      </c>
      <c r="AQ382" t="s">
        <v>74</v>
      </c>
      <c r="AR382" t="s">
        <v>3721</v>
      </c>
      <c r="AS382" t="s">
        <v>3722</v>
      </c>
      <c r="AT382" t="s">
        <v>3697</v>
      </c>
      <c r="AU382">
        <v>2008</v>
      </c>
      <c r="AV382">
        <v>21</v>
      </c>
      <c r="AW382">
        <v>12</v>
      </c>
      <c r="AX382" t="s">
        <v>74</v>
      </c>
      <c r="AY382" t="s">
        <v>74</v>
      </c>
      <c r="AZ382" t="s">
        <v>74</v>
      </c>
      <c r="BA382" t="s">
        <v>74</v>
      </c>
      <c r="BB382">
        <v>3020</v>
      </c>
      <c r="BC382">
        <v>3039</v>
      </c>
      <c r="BD382" t="s">
        <v>74</v>
      </c>
      <c r="BE382" t="s">
        <v>3739</v>
      </c>
      <c r="BF382" t="str">
        <f>HYPERLINK("http://dx.doi.org/10.1175/2007JCLI1702.1","http://dx.doi.org/10.1175/2007JCLI1702.1")</f>
        <v>http://dx.doi.org/10.1175/2007JCLI1702.1</v>
      </c>
      <c r="BG382" t="s">
        <v>74</v>
      </c>
      <c r="BH382" t="s">
        <v>74</v>
      </c>
      <c r="BI382">
        <v>20</v>
      </c>
      <c r="BJ382" t="s">
        <v>3071</v>
      </c>
      <c r="BK382" t="s">
        <v>419</v>
      </c>
      <c r="BL382" t="s">
        <v>3071</v>
      </c>
      <c r="BM382" t="s">
        <v>3724</v>
      </c>
      <c r="BN382" t="s">
        <v>74</v>
      </c>
      <c r="BO382" t="s">
        <v>3359</v>
      </c>
      <c r="BP382" t="s">
        <v>74</v>
      </c>
      <c r="BQ382" t="s">
        <v>74</v>
      </c>
      <c r="BR382" t="s">
        <v>101</v>
      </c>
      <c r="BS382" t="s">
        <v>3740</v>
      </c>
      <c r="BT382" t="str">
        <f>HYPERLINK("https%3A%2F%2Fwww.webofscience.com%2Fwos%2Fwoscc%2Ffull-record%2FWOS:000257246700018","View Full Record in Web of Science")</f>
        <v>View Full Record in Web of Science</v>
      </c>
    </row>
    <row r="383" spans="1:72" x14ac:dyDescent="0.15">
      <c r="A383" t="s">
        <v>72</v>
      </c>
      <c r="B383" t="s">
        <v>3741</v>
      </c>
      <c r="C383" t="s">
        <v>74</v>
      </c>
      <c r="D383" t="s">
        <v>74</v>
      </c>
      <c r="E383" t="s">
        <v>74</v>
      </c>
      <c r="F383" t="s">
        <v>3742</v>
      </c>
      <c r="G383" t="s">
        <v>74</v>
      </c>
      <c r="H383" t="s">
        <v>74</v>
      </c>
      <c r="I383" t="s">
        <v>3743</v>
      </c>
      <c r="J383" t="s">
        <v>3432</v>
      </c>
      <c r="K383" t="s">
        <v>74</v>
      </c>
      <c r="L383" t="s">
        <v>74</v>
      </c>
      <c r="M383" t="s">
        <v>78</v>
      </c>
      <c r="N383" t="s">
        <v>2737</v>
      </c>
      <c r="O383" t="s">
        <v>74</v>
      </c>
      <c r="P383" t="s">
        <v>74</v>
      </c>
      <c r="Q383" t="s">
        <v>74</v>
      </c>
      <c r="R383" t="s">
        <v>74</v>
      </c>
      <c r="S383" t="s">
        <v>74</v>
      </c>
      <c r="T383" t="s">
        <v>74</v>
      </c>
      <c r="U383" t="s">
        <v>3744</v>
      </c>
      <c r="V383" t="s">
        <v>3745</v>
      </c>
      <c r="W383" t="s">
        <v>3746</v>
      </c>
      <c r="X383" t="s">
        <v>3747</v>
      </c>
      <c r="Y383" t="s">
        <v>3748</v>
      </c>
      <c r="Z383" t="s">
        <v>3749</v>
      </c>
      <c r="AA383" t="s">
        <v>3750</v>
      </c>
      <c r="AB383" t="s">
        <v>3751</v>
      </c>
      <c r="AC383" t="s">
        <v>74</v>
      </c>
      <c r="AD383" t="s">
        <v>74</v>
      </c>
      <c r="AE383" t="s">
        <v>74</v>
      </c>
      <c r="AF383" t="s">
        <v>74</v>
      </c>
      <c r="AG383">
        <v>87</v>
      </c>
      <c r="AH383">
        <v>83</v>
      </c>
      <c r="AI383">
        <v>90</v>
      </c>
      <c r="AJ383">
        <v>0</v>
      </c>
      <c r="AK383">
        <v>10</v>
      </c>
      <c r="AL383" t="s">
        <v>3280</v>
      </c>
      <c r="AM383" t="s">
        <v>3281</v>
      </c>
      <c r="AN383" t="s">
        <v>3282</v>
      </c>
      <c r="AO383" t="s">
        <v>3439</v>
      </c>
      <c r="AP383" t="s">
        <v>3440</v>
      </c>
      <c r="AQ383" t="s">
        <v>74</v>
      </c>
      <c r="AR383" t="s">
        <v>3441</v>
      </c>
      <c r="AS383" t="s">
        <v>3442</v>
      </c>
      <c r="AT383" t="s">
        <v>3752</v>
      </c>
      <c r="AU383">
        <v>2008</v>
      </c>
      <c r="AV383">
        <v>113</v>
      </c>
      <c r="AW383" t="s">
        <v>3444</v>
      </c>
      <c r="AX383" t="s">
        <v>74</v>
      </c>
      <c r="AY383" t="s">
        <v>74</v>
      </c>
      <c r="AZ383" t="s">
        <v>74</v>
      </c>
      <c r="BA383" t="s">
        <v>74</v>
      </c>
      <c r="BB383" t="s">
        <v>74</v>
      </c>
      <c r="BC383" t="s">
        <v>74</v>
      </c>
      <c r="BD383" t="s">
        <v>3753</v>
      </c>
      <c r="BE383" t="s">
        <v>3754</v>
      </c>
      <c r="BF383" t="str">
        <f>HYPERLINK("http://dx.doi.org/10.1029/2007JC004515","http://dx.doi.org/10.1029/2007JC004515")</f>
        <v>http://dx.doi.org/10.1029/2007JC004515</v>
      </c>
      <c r="BG383" t="s">
        <v>74</v>
      </c>
      <c r="BH383" t="s">
        <v>74</v>
      </c>
      <c r="BI383">
        <v>24</v>
      </c>
      <c r="BJ383" t="s">
        <v>3447</v>
      </c>
      <c r="BK383" t="s">
        <v>419</v>
      </c>
      <c r="BL383" t="s">
        <v>3447</v>
      </c>
      <c r="BM383" t="s">
        <v>3755</v>
      </c>
      <c r="BN383" t="s">
        <v>74</v>
      </c>
      <c r="BO383" t="s">
        <v>74</v>
      </c>
      <c r="BP383" t="s">
        <v>74</v>
      </c>
      <c r="BQ383" t="s">
        <v>74</v>
      </c>
      <c r="BR383" t="s">
        <v>101</v>
      </c>
      <c r="BS383" t="s">
        <v>3756</v>
      </c>
      <c r="BT383" t="str">
        <f>HYPERLINK("https%3A%2F%2Fwww.webofscience.com%2Fwos%2Fwoscc%2Ffull-record%2FWOS:000256813000003","View Full Record in Web of Science")</f>
        <v>View Full Record in Web of Science</v>
      </c>
    </row>
    <row r="384" spans="1:72" x14ac:dyDescent="0.15">
      <c r="A384" t="s">
        <v>72</v>
      </c>
      <c r="B384" t="s">
        <v>3757</v>
      </c>
      <c r="C384" t="s">
        <v>74</v>
      </c>
      <c r="D384" t="s">
        <v>74</v>
      </c>
      <c r="E384" t="s">
        <v>74</v>
      </c>
      <c r="F384" t="s">
        <v>3758</v>
      </c>
      <c r="G384" t="s">
        <v>74</v>
      </c>
      <c r="H384" t="s">
        <v>74</v>
      </c>
      <c r="I384" t="s">
        <v>3759</v>
      </c>
      <c r="J384" t="s">
        <v>3432</v>
      </c>
      <c r="K384" t="s">
        <v>74</v>
      </c>
      <c r="L384" t="s">
        <v>74</v>
      </c>
      <c r="M384" t="s">
        <v>78</v>
      </c>
      <c r="N384" t="s">
        <v>2737</v>
      </c>
      <c r="O384" t="s">
        <v>74</v>
      </c>
      <c r="P384" t="s">
        <v>74</v>
      </c>
      <c r="Q384" t="s">
        <v>74</v>
      </c>
      <c r="R384" t="s">
        <v>74</v>
      </c>
      <c r="S384" t="s">
        <v>74</v>
      </c>
      <c r="T384" t="s">
        <v>74</v>
      </c>
      <c r="U384" t="s">
        <v>3760</v>
      </c>
      <c r="V384" t="s">
        <v>3761</v>
      </c>
      <c r="W384" t="s">
        <v>3762</v>
      </c>
      <c r="X384" t="s">
        <v>3763</v>
      </c>
      <c r="Y384" t="s">
        <v>3764</v>
      </c>
      <c r="Z384" t="s">
        <v>3765</v>
      </c>
      <c r="AA384" t="s">
        <v>3766</v>
      </c>
      <c r="AB384" t="s">
        <v>3767</v>
      </c>
      <c r="AC384" t="s">
        <v>74</v>
      </c>
      <c r="AD384" t="s">
        <v>74</v>
      </c>
      <c r="AE384" t="s">
        <v>74</v>
      </c>
      <c r="AF384" t="s">
        <v>74</v>
      </c>
      <c r="AG384">
        <v>42</v>
      </c>
      <c r="AH384">
        <v>291</v>
      </c>
      <c r="AI384">
        <v>322</v>
      </c>
      <c r="AJ384">
        <v>2</v>
      </c>
      <c r="AK384">
        <v>54</v>
      </c>
      <c r="AL384" t="s">
        <v>3280</v>
      </c>
      <c r="AM384" t="s">
        <v>3281</v>
      </c>
      <c r="AN384" t="s">
        <v>3282</v>
      </c>
      <c r="AO384" t="s">
        <v>3439</v>
      </c>
      <c r="AP384" t="s">
        <v>3440</v>
      </c>
      <c r="AQ384" t="s">
        <v>74</v>
      </c>
      <c r="AR384" t="s">
        <v>3441</v>
      </c>
      <c r="AS384" t="s">
        <v>3442</v>
      </c>
      <c r="AT384" t="s">
        <v>3768</v>
      </c>
      <c r="AU384">
        <v>2008</v>
      </c>
      <c r="AV384">
        <v>113</v>
      </c>
      <c r="AW384" t="s">
        <v>3444</v>
      </c>
      <c r="AX384" t="s">
        <v>74</v>
      </c>
      <c r="AY384" t="s">
        <v>74</v>
      </c>
      <c r="AZ384" t="s">
        <v>74</v>
      </c>
      <c r="BA384" t="s">
        <v>74</v>
      </c>
      <c r="BB384" t="s">
        <v>74</v>
      </c>
      <c r="BC384" t="s">
        <v>74</v>
      </c>
      <c r="BD384" t="s">
        <v>3769</v>
      </c>
      <c r="BE384" t="s">
        <v>3770</v>
      </c>
      <c r="BF384" t="str">
        <f>HYPERLINK("http://dx.doi.org/10.1029/2006JC004051","http://dx.doi.org/10.1029/2006JC004051")</f>
        <v>http://dx.doi.org/10.1029/2006JC004051</v>
      </c>
      <c r="BG384" t="s">
        <v>74</v>
      </c>
      <c r="BH384" t="s">
        <v>74</v>
      </c>
      <c r="BI384">
        <v>12</v>
      </c>
      <c r="BJ384" t="s">
        <v>3447</v>
      </c>
      <c r="BK384" t="s">
        <v>419</v>
      </c>
      <c r="BL384" t="s">
        <v>3447</v>
      </c>
      <c r="BM384" t="s">
        <v>3771</v>
      </c>
      <c r="BN384" t="s">
        <v>74</v>
      </c>
      <c r="BO384" t="s">
        <v>3290</v>
      </c>
      <c r="BP384" t="s">
        <v>74</v>
      </c>
      <c r="BQ384" t="s">
        <v>74</v>
      </c>
      <c r="BR384" t="s">
        <v>101</v>
      </c>
      <c r="BS384" t="s">
        <v>3772</v>
      </c>
      <c r="BT384" t="str">
        <f>HYPERLINK("https%3A%2F%2Fwww.webofscience.com%2Fwos%2Fwoscc%2Ffull-record%2FWOS:000256812900001","View Full Record in Web of Science")</f>
        <v>View Full Record in Web of Science</v>
      </c>
    </row>
    <row r="385" spans="1:72" x14ac:dyDescent="0.15">
      <c r="A385" t="s">
        <v>72</v>
      </c>
      <c r="B385" t="s">
        <v>3773</v>
      </c>
      <c r="C385" t="s">
        <v>74</v>
      </c>
      <c r="D385" t="s">
        <v>74</v>
      </c>
      <c r="E385" t="s">
        <v>74</v>
      </c>
      <c r="F385" t="s">
        <v>3774</v>
      </c>
      <c r="G385" t="s">
        <v>74</v>
      </c>
      <c r="H385" t="s">
        <v>74</v>
      </c>
      <c r="I385" t="s">
        <v>3775</v>
      </c>
      <c r="J385" t="s">
        <v>3776</v>
      </c>
      <c r="K385" t="s">
        <v>74</v>
      </c>
      <c r="L385" t="s">
        <v>74</v>
      </c>
      <c r="M385" t="s">
        <v>78</v>
      </c>
      <c r="N385" t="s">
        <v>2737</v>
      </c>
      <c r="O385" t="s">
        <v>74</v>
      </c>
      <c r="P385" t="s">
        <v>74</v>
      </c>
      <c r="Q385" t="s">
        <v>74</v>
      </c>
      <c r="R385" t="s">
        <v>74</v>
      </c>
      <c r="S385" t="s">
        <v>74</v>
      </c>
      <c r="T385" t="s">
        <v>74</v>
      </c>
      <c r="U385" t="s">
        <v>3777</v>
      </c>
      <c r="V385" t="s">
        <v>3778</v>
      </c>
      <c r="W385" t="s">
        <v>3779</v>
      </c>
      <c r="X385" t="s">
        <v>3780</v>
      </c>
      <c r="Y385" t="s">
        <v>3781</v>
      </c>
      <c r="Z385" t="s">
        <v>3782</v>
      </c>
      <c r="AA385" t="s">
        <v>3783</v>
      </c>
      <c r="AB385" t="s">
        <v>3784</v>
      </c>
      <c r="AC385" t="s">
        <v>3785</v>
      </c>
      <c r="AD385" t="s">
        <v>3031</v>
      </c>
      <c r="AE385" t="s">
        <v>74</v>
      </c>
      <c r="AF385" t="s">
        <v>74</v>
      </c>
      <c r="AG385">
        <v>65</v>
      </c>
      <c r="AH385">
        <v>175</v>
      </c>
      <c r="AI385">
        <v>181</v>
      </c>
      <c r="AJ385">
        <v>0</v>
      </c>
      <c r="AK385">
        <v>9</v>
      </c>
      <c r="AL385" t="s">
        <v>3280</v>
      </c>
      <c r="AM385" t="s">
        <v>3281</v>
      </c>
      <c r="AN385" t="s">
        <v>3282</v>
      </c>
      <c r="AO385" t="s">
        <v>3786</v>
      </c>
      <c r="AP385" t="s">
        <v>3787</v>
      </c>
      <c r="AQ385" t="s">
        <v>74</v>
      </c>
      <c r="AR385" t="s">
        <v>3788</v>
      </c>
      <c r="AS385" t="s">
        <v>3789</v>
      </c>
      <c r="AT385" t="s">
        <v>3790</v>
      </c>
      <c r="AU385">
        <v>2008</v>
      </c>
      <c r="AV385">
        <v>113</v>
      </c>
      <c r="AW385" t="s">
        <v>3791</v>
      </c>
      <c r="AX385" t="s">
        <v>74</v>
      </c>
      <c r="AY385" t="s">
        <v>74</v>
      </c>
      <c r="AZ385" t="s">
        <v>74</v>
      </c>
      <c r="BA385" t="s">
        <v>74</v>
      </c>
      <c r="BB385" t="s">
        <v>74</v>
      </c>
      <c r="BC385" t="s">
        <v>74</v>
      </c>
      <c r="BD385" t="s">
        <v>3792</v>
      </c>
      <c r="BE385" t="s">
        <v>3793</v>
      </c>
      <c r="BF385" t="str">
        <f>HYPERLINK("http://dx.doi.org/10.1029/2007JA012975","http://dx.doi.org/10.1029/2007JA012975")</f>
        <v>http://dx.doi.org/10.1029/2007JA012975</v>
      </c>
      <c r="BG385" t="s">
        <v>74</v>
      </c>
      <c r="BH385" t="s">
        <v>74</v>
      </c>
      <c r="BI385">
        <v>13</v>
      </c>
      <c r="BJ385" t="s">
        <v>3794</v>
      </c>
      <c r="BK385" t="s">
        <v>419</v>
      </c>
      <c r="BL385" t="s">
        <v>3794</v>
      </c>
      <c r="BM385" t="s">
        <v>3795</v>
      </c>
      <c r="BN385" t="s">
        <v>74</v>
      </c>
      <c r="BO385" t="s">
        <v>3290</v>
      </c>
      <c r="BP385" t="s">
        <v>74</v>
      </c>
      <c r="BQ385" t="s">
        <v>74</v>
      </c>
      <c r="BR385" t="s">
        <v>101</v>
      </c>
      <c r="BS385" t="s">
        <v>3796</v>
      </c>
      <c r="BT385" t="str">
        <f>HYPERLINK("https%3A%2F%2Fwww.webofscience.com%2Fwos%2Fwoscc%2Ffull-record%2FWOS:000256814700004","View Full Record in Web of Science")</f>
        <v>View Full Record in Web of Science</v>
      </c>
    </row>
    <row r="386" spans="1:72" x14ac:dyDescent="0.15">
      <c r="A386" t="s">
        <v>72</v>
      </c>
      <c r="B386" t="s">
        <v>3797</v>
      </c>
      <c r="C386" t="s">
        <v>74</v>
      </c>
      <c r="D386" t="s">
        <v>74</v>
      </c>
      <c r="E386" t="s">
        <v>74</v>
      </c>
      <c r="F386" t="s">
        <v>3798</v>
      </c>
      <c r="G386" t="s">
        <v>74</v>
      </c>
      <c r="H386" t="s">
        <v>74</v>
      </c>
      <c r="I386" t="s">
        <v>3799</v>
      </c>
      <c r="J386" t="s">
        <v>3800</v>
      </c>
      <c r="K386" t="s">
        <v>74</v>
      </c>
      <c r="L386" t="s">
        <v>74</v>
      </c>
      <c r="M386" t="s">
        <v>78</v>
      </c>
      <c r="N386" t="s">
        <v>2737</v>
      </c>
      <c r="O386" t="s">
        <v>74</v>
      </c>
      <c r="P386" t="s">
        <v>74</v>
      </c>
      <c r="Q386" t="s">
        <v>74</v>
      </c>
      <c r="R386" t="s">
        <v>74</v>
      </c>
      <c r="S386" t="s">
        <v>74</v>
      </c>
      <c r="T386" t="s">
        <v>74</v>
      </c>
      <c r="U386" t="s">
        <v>3801</v>
      </c>
      <c r="V386" t="s">
        <v>3802</v>
      </c>
      <c r="W386" t="s">
        <v>3803</v>
      </c>
      <c r="X386" t="s">
        <v>3804</v>
      </c>
      <c r="Y386" t="s">
        <v>3805</v>
      </c>
      <c r="Z386" t="s">
        <v>3806</v>
      </c>
      <c r="AA386" t="s">
        <v>74</v>
      </c>
      <c r="AB386" t="s">
        <v>74</v>
      </c>
      <c r="AC386" t="s">
        <v>74</v>
      </c>
      <c r="AD386" t="s">
        <v>74</v>
      </c>
      <c r="AE386" t="s">
        <v>74</v>
      </c>
      <c r="AF386" t="s">
        <v>74</v>
      </c>
      <c r="AG386">
        <v>39</v>
      </c>
      <c r="AH386">
        <v>50</v>
      </c>
      <c r="AI386">
        <v>55</v>
      </c>
      <c r="AJ386">
        <v>0</v>
      </c>
      <c r="AK386">
        <v>8</v>
      </c>
      <c r="AL386" t="s">
        <v>3807</v>
      </c>
      <c r="AM386" t="s">
        <v>3808</v>
      </c>
      <c r="AN386" t="s">
        <v>3809</v>
      </c>
      <c r="AO386" t="s">
        <v>3810</v>
      </c>
      <c r="AP386" t="s">
        <v>74</v>
      </c>
      <c r="AQ386" t="s">
        <v>74</v>
      </c>
      <c r="AR386" t="s">
        <v>3811</v>
      </c>
      <c r="AS386" t="s">
        <v>3812</v>
      </c>
      <c r="AT386" t="s">
        <v>3790</v>
      </c>
      <c r="AU386">
        <v>2008</v>
      </c>
      <c r="AV386">
        <v>28</v>
      </c>
      <c r="AW386">
        <v>2</v>
      </c>
      <c r="AX386" t="s">
        <v>74</v>
      </c>
      <c r="AY386" t="s">
        <v>74</v>
      </c>
      <c r="AZ386" t="s">
        <v>74</v>
      </c>
      <c r="BA386" t="s">
        <v>74</v>
      </c>
      <c r="BB386">
        <v>277</v>
      </c>
      <c r="BC386">
        <v>284</v>
      </c>
      <c r="BD386" t="s">
        <v>74</v>
      </c>
      <c r="BE386" t="s">
        <v>3813</v>
      </c>
      <c r="BF386" t="str">
        <f>HYPERLINK("http://dx.doi.org/10.1671/0272-4634(2008)28[277:TBFTTO]2.0.CO;2","http://dx.doi.org/10.1671/0272-4634(2008)28[277:TBFTTO]2.0.CO;2")</f>
        <v>http://dx.doi.org/10.1671/0272-4634(2008)28[277:TBFTTO]2.0.CO;2</v>
      </c>
      <c r="BG386" t="s">
        <v>74</v>
      </c>
      <c r="BH386" t="s">
        <v>74</v>
      </c>
      <c r="BI386">
        <v>8</v>
      </c>
      <c r="BJ386" t="s">
        <v>3226</v>
      </c>
      <c r="BK386" t="s">
        <v>419</v>
      </c>
      <c r="BL386" t="s">
        <v>3226</v>
      </c>
      <c r="BM386" t="s">
        <v>3814</v>
      </c>
      <c r="BN386" t="s">
        <v>74</v>
      </c>
      <c r="BO386" t="s">
        <v>74</v>
      </c>
      <c r="BP386" t="s">
        <v>74</v>
      </c>
      <c r="BQ386" t="s">
        <v>74</v>
      </c>
      <c r="BR386" t="s">
        <v>101</v>
      </c>
      <c r="BS386" t="s">
        <v>3815</v>
      </c>
      <c r="BT386" t="str">
        <f>HYPERLINK("https%3A%2F%2Fwww.webofscience.com%2Fwos%2Fwoscc%2Ffull-record%2FWOS:000256758800001","View Full Record in Web of Science")</f>
        <v>View Full Record in Web of Science</v>
      </c>
    </row>
    <row r="387" spans="1:72" x14ac:dyDescent="0.15">
      <c r="A387" t="s">
        <v>72</v>
      </c>
      <c r="B387" t="s">
        <v>3816</v>
      </c>
      <c r="C387" t="s">
        <v>74</v>
      </c>
      <c r="D387" t="s">
        <v>74</v>
      </c>
      <c r="E387" t="s">
        <v>74</v>
      </c>
      <c r="F387" t="s">
        <v>3817</v>
      </c>
      <c r="G387" t="s">
        <v>74</v>
      </c>
      <c r="H387" t="s">
        <v>74</v>
      </c>
      <c r="I387" t="s">
        <v>3818</v>
      </c>
      <c r="J387" t="s">
        <v>3819</v>
      </c>
      <c r="K387" t="s">
        <v>74</v>
      </c>
      <c r="L387" t="s">
        <v>74</v>
      </c>
      <c r="M387" t="s">
        <v>3820</v>
      </c>
      <c r="N387" t="s">
        <v>2737</v>
      </c>
      <c r="O387" t="s">
        <v>74</v>
      </c>
      <c r="P387" t="s">
        <v>74</v>
      </c>
      <c r="Q387" t="s">
        <v>74</v>
      </c>
      <c r="R387" t="s">
        <v>74</v>
      </c>
      <c r="S387" t="s">
        <v>74</v>
      </c>
      <c r="T387" t="s">
        <v>3821</v>
      </c>
      <c r="U387" t="s">
        <v>74</v>
      </c>
      <c r="V387" t="s">
        <v>3822</v>
      </c>
      <c r="W387" t="s">
        <v>3823</v>
      </c>
      <c r="X387" t="s">
        <v>3824</v>
      </c>
      <c r="Y387" t="s">
        <v>3825</v>
      </c>
      <c r="Z387" t="s">
        <v>3826</v>
      </c>
      <c r="AA387" t="s">
        <v>74</v>
      </c>
      <c r="AB387" t="s">
        <v>74</v>
      </c>
      <c r="AC387" t="s">
        <v>74</v>
      </c>
      <c r="AD387" t="s">
        <v>74</v>
      </c>
      <c r="AE387" t="s">
        <v>74</v>
      </c>
      <c r="AF387" t="s">
        <v>74</v>
      </c>
      <c r="AG387">
        <v>9</v>
      </c>
      <c r="AH387">
        <v>2</v>
      </c>
      <c r="AI387">
        <v>4</v>
      </c>
      <c r="AJ387">
        <v>0</v>
      </c>
      <c r="AK387">
        <v>6</v>
      </c>
      <c r="AL387" t="s">
        <v>3827</v>
      </c>
      <c r="AM387" t="s">
        <v>3087</v>
      </c>
      <c r="AN387" t="s">
        <v>3828</v>
      </c>
      <c r="AO387" t="s">
        <v>3829</v>
      </c>
      <c r="AP387" t="s">
        <v>74</v>
      </c>
      <c r="AQ387" t="s">
        <v>74</v>
      </c>
      <c r="AR387" t="s">
        <v>3830</v>
      </c>
      <c r="AS387" t="s">
        <v>3831</v>
      </c>
      <c r="AT387" t="s">
        <v>3832</v>
      </c>
      <c r="AU387">
        <v>2008</v>
      </c>
      <c r="AV387">
        <v>29</v>
      </c>
      <c r="AW387">
        <v>6</v>
      </c>
      <c r="AX387" t="s">
        <v>74</v>
      </c>
      <c r="AY387" t="s">
        <v>74</v>
      </c>
      <c r="AZ387" t="s">
        <v>74</v>
      </c>
      <c r="BA387" t="s">
        <v>74</v>
      </c>
      <c r="BB387">
        <v>1149</v>
      </c>
      <c r="BC387">
        <v>1152</v>
      </c>
      <c r="BD387" t="s">
        <v>74</v>
      </c>
      <c r="BE387" t="s">
        <v>74</v>
      </c>
      <c r="BF387" t="s">
        <v>74</v>
      </c>
      <c r="BG387" t="s">
        <v>74</v>
      </c>
      <c r="BH387" t="s">
        <v>74</v>
      </c>
      <c r="BI387">
        <v>4</v>
      </c>
      <c r="BJ387" t="s">
        <v>3833</v>
      </c>
      <c r="BK387" t="s">
        <v>419</v>
      </c>
      <c r="BL387" t="s">
        <v>3834</v>
      </c>
      <c r="BM387" t="s">
        <v>3835</v>
      </c>
      <c r="BN387" t="s">
        <v>74</v>
      </c>
      <c r="BO387" t="s">
        <v>74</v>
      </c>
      <c r="BP387" t="s">
        <v>74</v>
      </c>
      <c r="BQ387" t="s">
        <v>74</v>
      </c>
      <c r="BR387" t="s">
        <v>101</v>
      </c>
      <c r="BS387" t="s">
        <v>3836</v>
      </c>
      <c r="BT387" t="str">
        <f>HYPERLINK("https%3A%2F%2Fwww.webofscience.com%2Fwos%2Fwoscc%2Ffull-record%2FWOS:000257176300017","View Full Record in Web of Science")</f>
        <v>View Full Record in Web of Science</v>
      </c>
    </row>
    <row r="388" spans="1:72" x14ac:dyDescent="0.15">
      <c r="A388" t="s">
        <v>72</v>
      </c>
      <c r="B388" t="s">
        <v>3837</v>
      </c>
      <c r="C388" t="s">
        <v>74</v>
      </c>
      <c r="D388" t="s">
        <v>74</v>
      </c>
      <c r="E388" t="s">
        <v>74</v>
      </c>
      <c r="F388" t="s">
        <v>3838</v>
      </c>
      <c r="G388" t="s">
        <v>74</v>
      </c>
      <c r="H388" t="s">
        <v>74</v>
      </c>
      <c r="I388" t="s">
        <v>3839</v>
      </c>
      <c r="J388" t="s">
        <v>3819</v>
      </c>
      <c r="K388" t="s">
        <v>74</v>
      </c>
      <c r="L388" t="s">
        <v>74</v>
      </c>
      <c r="M388" t="s">
        <v>3820</v>
      </c>
      <c r="N388" t="s">
        <v>2737</v>
      </c>
      <c r="O388" t="s">
        <v>74</v>
      </c>
      <c r="P388" t="s">
        <v>74</v>
      </c>
      <c r="Q388" t="s">
        <v>74</v>
      </c>
      <c r="R388" t="s">
        <v>74</v>
      </c>
      <c r="S388" t="s">
        <v>74</v>
      </c>
      <c r="T388" t="s">
        <v>3840</v>
      </c>
      <c r="U388" t="s">
        <v>3841</v>
      </c>
      <c r="V388" t="s">
        <v>3842</v>
      </c>
      <c r="W388" t="s">
        <v>3843</v>
      </c>
      <c r="X388" t="s">
        <v>3844</v>
      </c>
      <c r="Y388" t="s">
        <v>3845</v>
      </c>
      <c r="Z388" t="s">
        <v>3846</v>
      </c>
      <c r="AA388" t="s">
        <v>3847</v>
      </c>
      <c r="AB388" t="s">
        <v>3848</v>
      </c>
      <c r="AC388" t="s">
        <v>74</v>
      </c>
      <c r="AD388" t="s">
        <v>74</v>
      </c>
      <c r="AE388" t="s">
        <v>74</v>
      </c>
      <c r="AF388" t="s">
        <v>74</v>
      </c>
      <c r="AG388">
        <v>39</v>
      </c>
      <c r="AH388">
        <v>0</v>
      </c>
      <c r="AI388">
        <v>1</v>
      </c>
      <c r="AJ388">
        <v>0</v>
      </c>
      <c r="AK388">
        <v>6</v>
      </c>
      <c r="AL388" t="s">
        <v>3827</v>
      </c>
      <c r="AM388" t="s">
        <v>3087</v>
      </c>
      <c r="AN388" t="s">
        <v>3849</v>
      </c>
      <c r="AO388" t="s">
        <v>3829</v>
      </c>
      <c r="AP388" t="s">
        <v>74</v>
      </c>
      <c r="AQ388" t="s">
        <v>74</v>
      </c>
      <c r="AR388" t="s">
        <v>3830</v>
      </c>
      <c r="AS388" t="s">
        <v>3831</v>
      </c>
      <c r="AT388" t="s">
        <v>3832</v>
      </c>
      <c r="AU388">
        <v>2008</v>
      </c>
      <c r="AV388">
        <v>29</v>
      </c>
      <c r="AW388">
        <v>6</v>
      </c>
      <c r="AX388" t="s">
        <v>74</v>
      </c>
      <c r="AY388" t="s">
        <v>74</v>
      </c>
      <c r="AZ388" t="s">
        <v>74</v>
      </c>
      <c r="BA388" t="s">
        <v>74</v>
      </c>
      <c r="BB388">
        <v>1228</v>
      </c>
      <c r="BC388">
        <v>1233</v>
      </c>
      <c r="BD388" t="s">
        <v>74</v>
      </c>
      <c r="BE388" t="s">
        <v>74</v>
      </c>
      <c r="BF388" t="s">
        <v>74</v>
      </c>
      <c r="BG388" t="s">
        <v>74</v>
      </c>
      <c r="BH388" t="s">
        <v>74</v>
      </c>
      <c r="BI388">
        <v>6</v>
      </c>
      <c r="BJ388" t="s">
        <v>3833</v>
      </c>
      <c r="BK388" t="s">
        <v>419</v>
      </c>
      <c r="BL388" t="s">
        <v>3834</v>
      </c>
      <c r="BM388" t="s">
        <v>3835</v>
      </c>
      <c r="BN388" t="s">
        <v>74</v>
      </c>
      <c r="BO388" t="s">
        <v>74</v>
      </c>
      <c r="BP388" t="s">
        <v>74</v>
      </c>
      <c r="BQ388" t="s">
        <v>74</v>
      </c>
      <c r="BR388" t="s">
        <v>101</v>
      </c>
      <c r="BS388" t="s">
        <v>3850</v>
      </c>
      <c r="BT388" t="str">
        <f>HYPERLINK("https%3A%2F%2Fwww.webofscience.com%2Fwos%2Fwoscc%2Ffull-record%2FWOS:000257176300034","View Full Record in Web of Science")</f>
        <v>View Full Record in Web of Science</v>
      </c>
    </row>
    <row r="389" spans="1:72" x14ac:dyDescent="0.15">
      <c r="A389" t="s">
        <v>72</v>
      </c>
      <c r="B389" t="s">
        <v>3851</v>
      </c>
      <c r="C389" t="s">
        <v>74</v>
      </c>
      <c r="D389" t="s">
        <v>74</v>
      </c>
      <c r="E389" t="s">
        <v>74</v>
      </c>
      <c r="F389" t="s">
        <v>3852</v>
      </c>
      <c r="G389" t="s">
        <v>74</v>
      </c>
      <c r="H389" t="s">
        <v>74</v>
      </c>
      <c r="I389" t="s">
        <v>3853</v>
      </c>
      <c r="J389" t="s">
        <v>3295</v>
      </c>
      <c r="K389" t="s">
        <v>74</v>
      </c>
      <c r="L389" t="s">
        <v>74</v>
      </c>
      <c r="M389" t="s">
        <v>78</v>
      </c>
      <c r="N389" t="s">
        <v>2737</v>
      </c>
      <c r="O389" t="s">
        <v>74</v>
      </c>
      <c r="P389" t="s">
        <v>74</v>
      </c>
      <c r="Q389" t="s">
        <v>74</v>
      </c>
      <c r="R389" t="s">
        <v>74</v>
      </c>
      <c r="S389" t="s">
        <v>74</v>
      </c>
      <c r="T389" t="s">
        <v>74</v>
      </c>
      <c r="U389" t="s">
        <v>3854</v>
      </c>
      <c r="V389" t="s">
        <v>3855</v>
      </c>
      <c r="W389" t="s">
        <v>3856</v>
      </c>
      <c r="X389" t="s">
        <v>3857</v>
      </c>
      <c r="Y389" t="s">
        <v>3858</v>
      </c>
      <c r="Z389" t="s">
        <v>3859</v>
      </c>
      <c r="AA389" t="s">
        <v>3860</v>
      </c>
      <c r="AB389" t="s">
        <v>3861</v>
      </c>
      <c r="AC389" t="s">
        <v>74</v>
      </c>
      <c r="AD389" t="s">
        <v>74</v>
      </c>
      <c r="AE389" t="s">
        <v>74</v>
      </c>
      <c r="AF389" t="s">
        <v>74</v>
      </c>
      <c r="AG389">
        <v>16</v>
      </c>
      <c r="AH389">
        <v>10</v>
      </c>
      <c r="AI389">
        <v>10</v>
      </c>
      <c r="AJ389">
        <v>0</v>
      </c>
      <c r="AK389">
        <v>2</v>
      </c>
      <c r="AL389" t="s">
        <v>3280</v>
      </c>
      <c r="AM389" t="s">
        <v>3281</v>
      </c>
      <c r="AN389" t="s">
        <v>3282</v>
      </c>
      <c r="AO389" t="s">
        <v>3304</v>
      </c>
      <c r="AP389" t="s">
        <v>3305</v>
      </c>
      <c r="AQ389" t="s">
        <v>74</v>
      </c>
      <c r="AR389" t="s">
        <v>3306</v>
      </c>
      <c r="AS389" t="s">
        <v>3307</v>
      </c>
      <c r="AT389" t="s">
        <v>3832</v>
      </c>
      <c r="AU389">
        <v>2008</v>
      </c>
      <c r="AV389">
        <v>35</v>
      </c>
      <c r="AW389">
        <v>11</v>
      </c>
      <c r="AX389" t="s">
        <v>74</v>
      </c>
      <c r="AY389" t="s">
        <v>74</v>
      </c>
      <c r="AZ389" t="s">
        <v>74</v>
      </c>
      <c r="BA389" t="s">
        <v>74</v>
      </c>
      <c r="BB389" t="s">
        <v>74</v>
      </c>
      <c r="BC389" t="s">
        <v>74</v>
      </c>
      <c r="BD389" t="s">
        <v>3862</v>
      </c>
      <c r="BE389" t="s">
        <v>3863</v>
      </c>
      <c r="BF389" t="str">
        <f>HYPERLINK("http://dx.doi.org/10.1029/2008GL033338","http://dx.doi.org/10.1029/2008GL033338")</f>
        <v>http://dx.doi.org/10.1029/2008GL033338</v>
      </c>
      <c r="BG389" t="s">
        <v>74</v>
      </c>
      <c r="BH389" t="s">
        <v>74</v>
      </c>
      <c r="BI389">
        <v>5</v>
      </c>
      <c r="BJ389" t="s">
        <v>3093</v>
      </c>
      <c r="BK389" t="s">
        <v>419</v>
      </c>
      <c r="BL389" t="s">
        <v>3094</v>
      </c>
      <c r="BM389" t="s">
        <v>3864</v>
      </c>
      <c r="BN389" t="s">
        <v>74</v>
      </c>
      <c r="BO389" t="s">
        <v>3290</v>
      </c>
      <c r="BP389" t="s">
        <v>74</v>
      </c>
      <c r="BQ389" t="s">
        <v>74</v>
      </c>
      <c r="BR389" t="s">
        <v>101</v>
      </c>
      <c r="BS389" t="s">
        <v>3865</v>
      </c>
      <c r="BT389" t="str">
        <f>HYPERLINK("https%3A%2F%2Fwww.webofscience.com%2Fwos%2Fwoscc%2Ffull-record%2FWOS:000256808900001","View Full Record in Web of Science")</f>
        <v>View Full Record in Web of Science</v>
      </c>
    </row>
    <row r="390" spans="1:72" x14ac:dyDescent="0.15">
      <c r="A390" t="s">
        <v>72</v>
      </c>
      <c r="B390" t="s">
        <v>3866</v>
      </c>
      <c r="C390" t="s">
        <v>74</v>
      </c>
      <c r="D390" t="s">
        <v>74</v>
      </c>
      <c r="E390" t="s">
        <v>74</v>
      </c>
      <c r="F390" t="s">
        <v>3867</v>
      </c>
      <c r="G390" t="s">
        <v>74</v>
      </c>
      <c r="H390" t="s">
        <v>74</v>
      </c>
      <c r="I390" t="s">
        <v>3868</v>
      </c>
      <c r="J390" t="s">
        <v>3396</v>
      </c>
      <c r="K390" t="s">
        <v>74</v>
      </c>
      <c r="L390" t="s">
        <v>74</v>
      </c>
      <c r="M390" t="s">
        <v>78</v>
      </c>
      <c r="N390" t="s">
        <v>2737</v>
      </c>
      <c r="O390" t="s">
        <v>74</v>
      </c>
      <c r="P390" t="s">
        <v>74</v>
      </c>
      <c r="Q390" t="s">
        <v>74</v>
      </c>
      <c r="R390" t="s">
        <v>74</v>
      </c>
      <c r="S390" t="s">
        <v>74</v>
      </c>
      <c r="T390" t="s">
        <v>74</v>
      </c>
      <c r="U390" t="s">
        <v>3869</v>
      </c>
      <c r="V390" t="s">
        <v>3870</v>
      </c>
      <c r="W390" t="s">
        <v>3871</v>
      </c>
      <c r="X390" t="s">
        <v>3872</v>
      </c>
      <c r="Y390" t="s">
        <v>3873</v>
      </c>
      <c r="Z390" t="s">
        <v>3874</v>
      </c>
      <c r="AA390" t="s">
        <v>74</v>
      </c>
      <c r="AB390" t="s">
        <v>74</v>
      </c>
      <c r="AC390" t="s">
        <v>74</v>
      </c>
      <c r="AD390" t="s">
        <v>74</v>
      </c>
      <c r="AE390" t="s">
        <v>74</v>
      </c>
      <c r="AF390" t="s">
        <v>74</v>
      </c>
      <c r="AG390">
        <v>33</v>
      </c>
      <c r="AH390">
        <v>29</v>
      </c>
      <c r="AI390">
        <v>31</v>
      </c>
      <c r="AJ390">
        <v>0</v>
      </c>
      <c r="AK390">
        <v>5</v>
      </c>
      <c r="AL390" t="s">
        <v>3280</v>
      </c>
      <c r="AM390" t="s">
        <v>3281</v>
      </c>
      <c r="AN390" t="s">
        <v>3282</v>
      </c>
      <c r="AO390" t="s">
        <v>3406</v>
      </c>
      <c r="AP390" t="s">
        <v>3407</v>
      </c>
      <c r="AQ390" t="s">
        <v>74</v>
      </c>
      <c r="AR390" t="s">
        <v>3408</v>
      </c>
      <c r="AS390" t="s">
        <v>3409</v>
      </c>
      <c r="AT390" t="s">
        <v>3832</v>
      </c>
      <c r="AU390">
        <v>2008</v>
      </c>
      <c r="AV390">
        <v>113</v>
      </c>
      <c r="AW390" t="s">
        <v>3875</v>
      </c>
      <c r="AX390" t="s">
        <v>74</v>
      </c>
      <c r="AY390" t="s">
        <v>74</v>
      </c>
      <c r="AZ390" t="s">
        <v>74</v>
      </c>
      <c r="BA390" t="s">
        <v>74</v>
      </c>
      <c r="BB390" t="s">
        <v>74</v>
      </c>
      <c r="BC390" t="s">
        <v>74</v>
      </c>
      <c r="BD390" t="s">
        <v>3876</v>
      </c>
      <c r="BE390" t="s">
        <v>3877</v>
      </c>
      <c r="BF390" t="str">
        <f>HYPERLINK("http://dx.doi.org/10.1029/2007JD008835","http://dx.doi.org/10.1029/2007JD008835")</f>
        <v>http://dx.doi.org/10.1029/2007JD008835</v>
      </c>
      <c r="BG390" t="s">
        <v>74</v>
      </c>
      <c r="BH390" t="s">
        <v>74</v>
      </c>
      <c r="BI390">
        <v>13</v>
      </c>
      <c r="BJ390" t="s">
        <v>3071</v>
      </c>
      <c r="BK390" t="s">
        <v>419</v>
      </c>
      <c r="BL390" t="s">
        <v>3071</v>
      </c>
      <c r="BM390" t="s">
        <v>3878</v>
      </c>
      <c r="BN390" t="s">
        <v>74</v>
      </c>
      <c r="BO390" t="s">
        <v>3290</v>
      </c>
      <c r="BP390" t="s">
        <v>74</v>
      </c>
      <c r="BQ390" t="s">
        <v>74</v>
      </c>
      <c r="BR390" t="s">
        <v>101</v>
      </c>
      <c r="BS390" t="s">
        <v>3879</v>
      </c>
      <c r="BT390" t="str">
        <f>HYPERLINK("https%3A%2F%2Fwww.webofscience.com%2Fwos%2Fwoscc%2Ffull-record%2FWOS:000256811900002","View Full Record in Web of Science")</f>
        <v>View Full Record in Web of Science</v>
      </c>
    </row>
    <row r="391" spans="1:72" x14ac:dyDescent="0.15">
      <c r="A391" t="s">
        <v>72</v>
      </c>
      <c r="B391" t="s">
        <v>3880</v>
      </c>
      <c r="C391" t="s">
        <v>74</v>
      </c>
      <c r="D391" t="s">
        <v>74</v>
      </c>
      <c r="E391" t="s">
        <v>74</v>
      </c>
      <c r="F391" t="s">
        <v>3881</v>
      </c>
      <c r="G391" t="s">
        <v>74</v>
      </c>
      <c r="H391" t="s">
        <v>74</v>
      </c>
      <c r="I391" t="s">
        <v>3882</v>
      </c>
      <c r="J391" t="s">
        <v>3432</v>
      </c>
      <c r="K391" t="s">
        <v>74</v>
      </c>
      <c r="L391" t="s">
        <v>74</v>
      </c>
      <c r="M391" t="s">
        <v>78</v>
      </c>
      <c r="N391" t="s">
        <v>2737</v>
      </c>
      <c r="O391" t="s">
        <v>74</v>
      </c>
      <c r="P391" t="s">
        <v>74</v>
      </c>
      <c r="Q391" t="s">
        <v>74</v>
      </c>
      <c r="R391" t="s">
        <v>74</v>
      </c>
      <c r="S391" t="s">
        <v>74</v>
      </c>
      <c r="T391" t="s">
        <v>74</v>
      </c>
      <c r="U391" t="s">
        <v>3883</v>
      </c>
      <c r="V391" t="s">
        <v>3884</v>
      </c>
      <c r="W391" t="s">
        <v>3885</v>
      </c>
      <c r="X391" t="s">
        <v>3886</v>
      </c>
      <c r="Y391" t="s">
        <v>3887</v>
      </c>
      <c r="Z391" t="s">
        <v>3888</v>
      </c>
      <c r="AA391" t="s">
        <v>74</v>
      </c>
      <c r="AB391" t="s">
        <v>74</v>
      </c>
      <c r="AC391" t="s">
        <v>74</v>
      </c>
      <c r="AD391" t="s">
        <v>74</v>
      </c>
      <c r="AE391" t="s">
        <v>74</v>
      </c>
      <c r="AF391" t="s">
        <v>74</v>
      </c>
      <c r="AG391">
        <v>63</v>
      </c>
      <c r="AH391">
        <v>31</v>
      </c>
      <c r="AI391">
        <v>34</v>
      </c>
      <c r="AJ391">
        <v>0</v>
      </c>
      <c r="AK391">
        <v>13</v>
      </c>
      <c r="AL391" t="s">
        <v>3280</v>
      </c>
      <c r="AM391" t="s">
        <v>3281</v>
      </c>
      <c r="AN391" t="s">
        <v>3282</v>
      </c>
      <c r="AO391" t="s">
        <v>3439</v>
      </c>
      <c r="AP391" t="s">
        <v>3440</v>
      </c>
      <c r="AQ391" t="s">
        <v>74</v>
      </c>
      <c r="AR391" t="s">
        <v>3441</v>
      </c>
      <c r="AS391" t="s">
        <v>3442</v>
      </c>
      <c r="AT391" t="s">
        <v>3832</v>
      </c>
      <c r="AU391">
        <v>2008</v>
      </c>
      <c r="AV391">
        <v>113</v>
      </c>
      <c r="AW391" t="s">
        <v>3444</v>
      </c>
      <c r="AX391" t="s">
        <v>74</v>
      </c>
      <c r="AY391" t="s">
        <v>74</v>
      </c>
      <c r="AZ391" t="s">
        <v>74</v>
      </c>
      <c r="BA391" t="s">
        <v>74</v>
      </c>
      <c r="BB391" t="s">
        <v>74</v>
      </c>
      <c r="BC391" t="s">
        <v>74</v>
      </c>
      <c r="BD391" t="s">
        <v>3889</v>
      </c>
      <c r="BE391" t="s">
        <v>3890</v>
      </c>
      <c r="BF391" t="str">
        <f>HYPERLINK("http://dx.doi.org/10.1029/2007JC004424","http://dx.doi.org/10.1029/2007JC004424")</f>
        <v>http://dx.doi.org/10.1029/2007JC004424</v>
      </c>
      <c r="BG391" t="s">
        <v>74</v>
      </c>
      <c r="BH391" t="s">
        <v>74</v>
      </c>
      <c r="BI391">
        <v>16</v>
      </c>
      <c r="BJ391" t="s">
        <v>3447</v>
      </c>
      <c r="BK391" t="s">
        <v>419</v>
      </c>
      <c r="BL391" t="s">
        <v>3447</v>
      </c>
      <c r="BM391" t="s">
        <v>3891</v>
      </c>
      <c r="BN391" t="s">
        <v>74</v>
      </c>
      <c r="BO391" t="s">
        <v>3290</v>
      </c>
      <c r="BP391" t="s">
        <v>74</v>
      </c>
      <c r="BQ391" t="s">
        <v>74</v>
      </c>
      <c r="BR391" t="s">
        <v>101</v>
      </c>
      <c r="BS391" t="s">
        <v>3892</v>
      </c>
      <c r="BT391" t="str">
        <f>HYPERLINK("https%3A%2F%2Fwww.webofscience.com%2Fwos%2Fwoscc%2Ffull-record%2FWOS:000256812600003","View Full Record in Web of Science")</f>
        <v>View Full Record in Web of Science</v>
      </c>
    </row>
    <row r="392" spans="1:72" x14ac:dyDescent="0.15">
      <c r="A392" t="s">
        <v>72</v>
      </c>
      <c r="B392" t="s">
        <v>3893</v>
      </c>
      <c r="C392" t="s">
        <v>74</v>
      </c>
      <c r="D392" t="s">
        <v>74</v>
      </c>
      <c r="E392" t="s">
        <v>74</v>
      </c>
      <c r="F392" t="s">
        <v>3894</v>
      </c>
      <c r="G392" t="s">
        <v>74</v>
      </c>
      <c r="H392" t="s">
        <v>74</v>
      </c>
      <c r="I392" t="s">
        <v>3895</v>
      </c>
      <c r="J392" t="s">
        <v>3432</v>
      </c>
      <c r="K392" t="s">
        <v>74</v>
      </c>
      <c r="L392" t="s">
        <v>74</v>
      </c>
      <c r="M392" t="s">
        <v>78</v>
      </c>
      <c r="N392" t="s">
        <v>2737</v>
      </c>
      <c r="O392" t="s">
        <v>74</v>
      </c>
      <c r="P392" t="s">
        <v>74</v>
      </c>
      <c r="Q392" t="s">
        <v>74</v>
      </c>
      <c r="R392" t="s">
        <v>74</v>
      </c>
      <c r="S392" t="s">
        <v>74</v>
      </c>
      <c r="T392" t="s">
        <v>74</v>
      </c>
      <c r="U392" t="s">
        <v>3896</v>
      </c>
      <c r="V392" t="s">
        <v>3897</v>
      </c>
      <c r="W392" t="s">
        <v>3898</v>
      </c>
      <c r="X392" t="s">
        <v>456</v>
      </c>
      <c r="Y392" t="s">
        <v>3899</v>
      </c>
      <c r="Z392" t="s">
        <v>3900</v>
      </c>
      <c r="AA392" t="s">
        <v>3901</v>
      </c>
      <c r="AB392" t="s">
        <v>74</v>
      </c>
      <c r="AC392" t="s">
        <v>74</v>
      </c>
      <c r="AD392" t="s">
        <v>74</v>
      </c>
      <c r="AE392" t="s">
        <v>74</v>
      </c>
      <c r="AF392" t="s">
        <v>74</v>
      </c>
      <c r="AG392">
        <v>45</v>
      </c>
      <c r="AH392">
        <v>2</v>
      </c>
      <c r="AI392">
        <v>2</v>
      </c>
      <c r="AJ392">
        <v>0</v>
      </c>
      <c r="AK392">
        <v>4</v>
      </c>
      <c r="AL392" t="s">
        <v>3280</v>
      </c>
      <c r="AM392" t="s">
        <v>3281</v>
      </c>
      <c r="AN392" t="s">
        <v>3282</v>
      </c>
      <c r="AO392" t="s">
        <v>3439</v>
      </c>
      <c r="AP392" t="s">
        <v>3440</v>
      </c>
      <c r="AQ392" t="s">
        <v>74</v>
      </c>
      <c r="AR392" t="s">
        <v>3441</v>
      </c>
      <c r="AS392" t="s">
        <v>3442</v>
      </c>
      <c r="AT392" t="s">
        <v>3832</v>
      </c>
      <c r="AU392">
        <v>2008</v>
      </c>
      <c r="AV392">
        <v>113</v>
      </c>
      <c r="AW392" t="s">
        <v>3444</v>
      </c>
      <c r="AX392" t="s">
        <v>74</v>
      </c>
      <c r="AY392" t="s">
        <v>74</v>
      </c>
      <c r="AZ392" t="s">
        <v>74</v>
      </c>
      <c r="BA392" t="s">
        <v>74</v>
      </c>
      <c r="BB392" t="s">
        <v>74</v>
      </c>
      <c r="BC392" t="s">
        <v>74</v>
      </c>
      <c r="BD392" t="s">
        <v>3902</v>
      </c>
      <c r="BE392" t="s">
        <v>3903</v>
      </c>
      <c r="BF392" t="str">
        <f>HYPERLINK("http://dx.doi.org/10.1029/2007JC004127","http://dx.doi.org/10.1029/2007JC004127")</f>
        <v>http://dx.doi.org/10.1029/2007JC004127</v>
      </c>
      <c r="BG392" t="s">
        <v>74</v>
      </c>
      <c r="BH392" t="s">
        <v>74</v>
      </c>
      <c r="BI392">
        <v>10</v>
      </c>
      <c r="BJ392" t="s">
        <v>3447</v>
      </c>
      <c r="BK392" t="s">
        <v>419</v>
      </c>
      <c r="BL392" t="s">
        <v>3447</v>
      </c>
      <c r="BM392" t="s">
        <v>3891</v>
      </c>
      <c r="BN392" t="s">
        <v>74</v>
      </c>
      <c r="BO392" t="s">
        <v>3290</v>
      </c>
      <c r="BP392" t="s">
        <v>74</v>
      </c>
      <c r="BQ392" t="s">
        <v>74</v>
      </c>
      <c r="BR392" t="s">
        <v>101</v>
      </c>
      <c r="BS392" t="s">
        <v>3904</v>
      </c>
      <c r="BT392" t="str">
        <f>HYPERLINK("https%3A%2F%2Fwww.webofscience.com%2Fwos%2Fwoscc%2Ffull-record%2FWOS:000256812600001","View Full Record in Web of Science")</f>
        <v>View Full Record in Web of Science</v>
      </c>
    </row>
    <row r="393" spans="1:72" x14ac:dyDescent="0.15">
      <c r="A393" t="s">
        <v>72</v>
      </c>
      <c r="B393" t="s">
        <v>3905</v>
      </c>
      <c r="C393" t="s">
        <v>74</v>
      </c>
      <c r="D393" t="s">
        <v>74</v>
      </c>
      <c r="E393" t="s">
        <v>74</v>
      </c>
      <c r="F393" t="s">
        <v>3906</v>
      </c>
      <c r="G393" t="s">
        <v>74</v>
      </c>
      <c r="H393" t="s">
        <v>74</v>
      </c>
      <c r="I393" t="s">
        <v>3907</v>
      </c>
      <c r="J393" t="s">
        <v>3295</v>
      </c>
      <c r="K393" t="s">
        <v>74</v>
      </c>
      <c r="L393" t="s">
        <v>74</v>
      </c>
      <c r="M393" t="s">
        <v>78</v>
      </c>
      <c r="N393" t="s">
        <v>2737</v>
      </c>
      <c r="O393" t="s">
        <v>74</v>
      </c>
      <c r="P393" t="s">
        <v>74</v>
      </c>
      <c r="Q393" t="s">
        <v>74</v>
      </c>
      <c r="R393" t="s">
        <v>74</v>
      </c>
      <c r="S393" t="s">
        <v>74</v>
      </c>
      <c r="T393" t="s">
        <v>74</v>
      </c>
      <c r="U393" t="s">
        <v>3908</v>
      </c>
      <c r="V393" t="s">
        <v>3909</v>
      </c>
      <c r="W393" t="s">
        <v>3910</v>
      </c>
      <c r="X393" t="s">
        <v>3911</v>
      </c>
      <c r="Y393" t="s">
        <v>3912</v>
      </c>
      <c r="Z393" t="s">
        <v>3913</v>
      </c>
      <c r="AA393" t="s">
        <v>3914</v>
      </c>
      <c r="AB393" t="s">
        <v>3915</v>
      </c>
      <c r="AC393" t="s">
        <v>74</v>
      </c>
      <c r="AD393" t="s">
        <v>74</v>
      </c>
      <c r="AE393" t="s">
        <v>74</v>
      </c>
      <c r="AF393" t="s">
        <v>74</v>
      </c>
      <c r="AG393">
        <v>26</v>
      </c>
      <c r="AH393">
        <v>34</v>
      </c>
      <c r="AI393">
        <v>37</v>
      </c>
      <c r="AJ393">
        <v>1</v>
      </c>
      <c r="AK393">
        <v>6</v>
      </c>
      <c r="AL393" t="s">
        <v>3280</v>
      </c>
      <c r="AM393" t="s">
        <v>3281</v>
      </c>
      <c r="AN393" t="s">
        <v>3282</v>
      </c>
      <c r="AO393" t="s">
        <v>3304</v>
      </c>
      <c r="AP393" t="s">
        <v>74</v>
      </c>
      <c r="AQ393" t="s">
        <v>74</v>
      </c>
      <c r="AR393" t="s">
        <v>3306</v>
      </c>
      <c r="AS393" t="s">
        <v>3307</v>
      </c>
      <c r="AT393" t="s">
        <v>3916</v>
      </c>
      <c r="AU393">
        <v>2008</v>
      </c>
      <c r="AV393">
        <v>35</v>
      </c>
      <c r="AW393">
        <v>11</v>
      </c>
      <c r="AX393" t="s">
        <v>74</v>
      </c>
      <c r="AY393" t="s">
        <v>74</v>
      </c>
      <c r="AZ393" t="s">
        <v>74</v>
      </c>
      <c r="BA393" t="s">
        <v>74</v>
      </c>
      <c r="BB393" t="s">
        <v>74</v>
      </c>
      <c r="BC393" t="s">
        <v>74</v>
      </c>
      <c r="BD393" t="s">
        <v>3917</v>
      </c>
      <c r="BE393" t="s">
        <v>3918</v>
      </c>
      <c r="BF393" t="str">
        <f>HYPERLINK("http://dx.doi.org/10.1029/2008GL033644","http://dx.doi.org/10.1029/2008GL033644")</f>
        <v>http://dx.doi.org/10.1029/2008GL033644</v>
      </c>
      <c r="BG393" t="s">
        <v>74</v>
      </c>
      <c r="BH393" t="s">
        <v>74</v>
      </c>
      <c r="BI393">
        <v>5</v>
      </c>
      <c r="BJ393" t="s">
        <v>3093</v>
      </c>
      <c r="BK393" t="s">
        <v>419</v>
      </c>
      <c r="BL393" t="s">
        <v>3094</v>
      </c>
      <c r="BM393" t="s">
        <v>3919</v>
      </c>
      <c r="BN393" t="s">
        <v>74</v>
      </c>
      <c r="BO393" t="s">
        <v>3290</v>
      </c>
      <c r="BP393" t="s">
        <v>74</v>
      </c>
      <c r="BQ393" t="s">
        <v>74</v>
      </c>
      <c r="BR393" t="s">
        <v>101</v>
      </c>
      <c r="BS393" t="s">
        <v>3920</v>
      </c>
      <c r="BT393" t="str">
        <f>HYPERLINK("https%3A%2F%2Fwww.webofscience.com%2Fwos%2Fwoscc%2Ffull-record%2FWOS:000256559000001","View Full Record in Web of Science")</f>
        <v>View Full Record in Web of Science</v>
      </c>
    </row>
    <row r="394" spans="1:72" x14ac:dyDescent="0.15">
      <c r="A394" t="s">
        <v>72</v>
      </c>
      <c r="B394" t="s">
        <v>3921</v>
      </c>
      <c r="C394" t="s">
        <v>74</v>
      </c>
      <c r="D394" t="s">
        <v>74</v>
      </c>
      <c r="E394" t="s">
        <v>74</v>
      </c>
      <c r="F394" t="s">
        <v>3922</v>
      </c>
      <c r="G394" t="s">
        <v>74</v>
      </c>
      <c r="H394" t="s">
        <v>74</v>
      </c>
      <c r="I394" t="s">
        <v>3923</v>
      </c>
      <c r="J394" t="s">
        <v>3924</v>
      </c>
      <c r="K394" t="s">
        <v>74</v>
      </c>
      <c r="L394" t="s">
        <v>74</v>
      </c>
      <c r="M394" t="s">
        <v>78</v>
      </c>
      <c r="N394" t="s">
        <v>2737</v>
      </c>
      <c r="O394" t="s">
        <v>74</v>
      </c>
      <c r="P394" t="s">
        <v>74</v>
      </c>
      <c r="Q394" t="s">
        <v>74</v>
      </c>
      <c r="R394" t="s">
        <v>74</v>
      </c>
      <c r="S394" t="s">
        <v>74</v>
      </c>
      <c r="T394" t="s">
        <v>3925</v>
      </c>
      <c r="U394" t="s">
        <v>3926</v>
      </c>
      <c r="V394" t="s">
        <v>3927</v>
      </c>
      <c r="W394" t="s">
        <v>3928</v>
      </c>
      <c r="X394" t="s">
        <v>3929</v>
      </c>
      <c r="Y394" t="s">
        <v>3930</v>
      </c>
      <c r="Z394" t="s">
        <v>74</v>
      </c>
      <c r="AA394" t="s">
        <v>3931</v>
      </c>
      <c r="AB394" t="s">
        <v>3932</v>
      </c>
      <c r="AC394" t="s">
        <v>74</v>
      </c>
      <c r="AD394" t="s">
        <v>74</v>
      </c>
      <c r="AE394" t="s">
        <v>74</v>
      </c>
      <c r="AF394" t="s">
        <v>74</v>
      </c>
      <c r="AG394">
        <v>51</v>
      </c>
      <c r="AH394">
        <v>64</v>
      </c>
      <c r="AI394">
        <v>68</v>
      </c>
      <c r="AJ394">
        <v>1</v>
      </c>
      <c r="AK394">
        <v>25</v>
      </c>
      <c r="AL394" t="s">
        <v>3933</v>
      </c>
      <c r="AM394" t="s">
        <v>3258</v>
      </c>
      <c r="AN394" t="s">
        <v>3934</v>
      </c>
      <c r="AO394" t="s">
        <v>3935</v>
      </c>
      <c r="AP394" t="s">
        <v>3936</v>
      </c>
      <c r="AQ394" t="s">
        <v>74</v>
      </c>
      <c r="AR394" t="s">
        <v>3937</v>
      </c>
      <c r="AS394" t="s">
        <v>3938</v>
      </c>
      <c r="AT394" t="s">
        <v>3916</v>
      </c>
      <c r="AU394">
        <v>2008</v>
      </c>
      <c r="AV394">
        <v>360</v>
      </c>
      <c r="AW394">
        <v>2</v>
      </c>
      <c r="AX394" t="s">
        <v>74</v>
      </c>
      <c r="AY394" t="s">
        <v>74</v>
      </c>
      <c r="AZ394" t="s">
        <v>74</v>
      </c>
      <c r="BA394" t="s">
        <v>74</v>
      </c>
      <c r="BB394">
        <v>71</v>
      </c>
      <c r="BC394">
        <v>77</v>
      </c>
      <c r="BD394" t="s">
        <v>74</v>
      </c>
      <c r="BE394" t="s">
        <v>3939</v>
      </c>
      <c r="BF394" t="str">
        <f>HYPERLINK("http://dx.doi.org/10.1016/j.jembe.2008.03.012","http://dx.doi.org/10.1016/j.jembe.2008.03.012")</f>
        <v>http://dx.doi.org/10.1016/j.jembe.2008.03.012</v>
      </c>
      <c r="BG394" t="s">
        <v>74</v>
      </c>
      <c r="BH394" t="s">
        <v>74</v>
      </c>
      <c r="BI394">
        <v>7</v>
      </c>
      <c r="BJ394" t="s">
        <v>3940</v>
      </c>
      <c r="BK394" t="s">
        <v>419</v>
      </c>
      <c r="BL394" t="s">
        <v>3941</v>
      </c>
      <c r="BM394" t="s">
        <v>3942</v>
      </c>
      <c r="BN394" t="s">
        <v>74</v>
      </c>
      <c r="BO394" t="s">
        <v>74</v>
      </c>
      <c r="BP394" t="s">
        <v>74</v>
      </c>
      <c r="BQ394" t="s">
        <v>74</v>
      </c>
      <c r="BR394" t="s">
        <v>101</v>
      </c>
      <c r="BS394" t="s">
        <v>3943</v>
      </c>
      <c r="BT394" t="str">
        <f>HYPERLINK("https%3A%2F%2Fwww.webofscience.com%2Fwos%2Fwoscc%2Ffull-record%2FWOS:000257348900002","View Full Record in Web of Science")</f>
        <v>View Full Record in Web of Science</v>
      </c>
    </row>
    <row r="395" spans="1:72" x14ac:dyDescent="0.15">
      <c r="A395" t="s">
        <v>72</v>
      </c>
      <c r="B395" t="s">
        <v>3944</v>
      </c>
      <c r="C395" t="s">
        <v>74</v>
      </c>
      <c r="D395" t="s">
        <v>74</v>
      </c>
      <c r="E395" t="s">
        <v>74</v>
      </c>
      <c r="F395" t="s">
        <v>3945</v>
      </c>
      <c r="G395" t="s">
        <v>74</v>
      </c>
      <c r="H395" t="s">
        <v>74</v>
      </c>
      <c r="I395" t="s">
        <v>3946</v>
      </c>
      <c r="J395" t="s">
        <v>3947</v>
      </c>
      <c r="K395" t="s">
        <v>74</v>
      </c>
      <c r="L395" t="s">
        <v>74</v>
      </c>
      <c r="M395" t="s">
        <v>78</v>
      </c>
      <c r="N395" t="s">
        <v>2737</v>
      </c>
      <c r="O395" t="s">
        <v>74</v>
      </c>
      <c r="P395" t="s">
        <v>74</v>
      </c>
      <c r="Q395" t="s">
        <v>74</v>
      </c>
      <c r="R395" t="s">
        <v>74</v>
      </c>
      <c r="S395" t="s">
        <v>74</v>
      </c>
      <c r="T395" t="s">
        <v>3948</v>
      </c>
      <c r="U395" t="s">
        <v>3949</v>
      </c>
      <c r="V395" t="s">
        <v>3950</v>
      </c>
      <c r="W395" t="s">
        <v>3951</v>
      </c>
      <c r="X395" t="s">
        <v>3952</v>
      </c>
      <c r="Y395" t="s">
        <v>3953</v>
      </c>
      <c r="Z395" t="s">
        <v>3954</v>
      </c>
      <c r="AA395" t="s">
        <v>3955</v>
      </c>
      <c r="AB395" t="s">
        <v>3956</v>
      </c>
      <c r="AC395" t="s">
        <v>74</v>
      </c>
      <c r="AD395" t="s">
        <v>74</v>
      </c>
      <c r="AE395" t="s">
        <v>74</v>
      </c>
      <c r="AF395" t="s">
        <v>74</v>
      </c>
      <c r="AG395">
        <v>63</v>
      </c>
      <c r="AH395">
        <v>13</v>
      </c>
      <c r="AI395">
        <v>13</v>
      </c>
      <c r="AJ395">
        <v>2</v>
      </c>
      <c r="AK395">
        <v>8</v>
      </c>
      <c r="AL395" t="s">
        <v>3933</v>
      </c>
      <c r="AM395" t="s">
        <v>3258</v>
      </c>
      <c r="AN395" t="s">
        <v>3934</v>
      </c>
      <c r="AO395" t="s">
        <v>3957</v>
      </c>
      <c r="AP395" t="s">
        <v>3958</v>
      </c>
      <c r="AQ395" t="s">
        <v>74</v>
      </c>
      <c r="AR395" t="s">
        <v>3959</v>
      </c>
      <c r="AS395" t="s">
        <v>3960</v>
      </c>
      <c r="AT395" t="s">
        <v>3916</v>
      </c>
      <c r="AU395">
        <v>2008</v>
      </c>
      <c r="AV395">
        <v>251</v>
      </c>
      <c r="AW395" t="s">
        <v>3263</v>
      </c>
      <c r="AX395" t="s">
        <v>74</v>
      </c>
      <c r="AY395" t="s">
        <v>74</v>
      </c>
      <c r="AZ395" t="s">
        <v>74</v>
      </c>
      <c r="BA395" t="s">
        <v>74</v>
      </c>
      <c r="BB395">
        <v>167</v>
      </c>
      <c r="BC395">
        <v>182</v>
      </c>
      <c r="BD395" t="s">
        <v>74</v>
      </c>
      <c r="BE395" t="s">
        <v>3961</v>
      </c>
      <c r="BF395" t="str">
        <f>HYPERLINK("http://dx.doi.org/10.1016/j.margeo.2008.02.006","http://dx.doi.org/10.1016/j.margeo.2008.02.006")</f>
        <v>http://dx.doi.org/10.1016/j.margeo.2008.02.006</v>
      </c>
      <c r="BG395" t="s">
        <v>74</v>
      </c>
      <c r="BH395" t="s">
        <v>74</v>
      </c>
      <c r="BI395">
        <v>16</v>
      </c>
      <c r="BJ395" t="s">
        <v>3962</v>
      </c>
      <c r="BK395" t="s">
        <v>419</v>
      </c>
      <c r="BL395" t="s">
        <v>3963</v>
      </c>
      <c r="BM395" t="s">
        <v>3964</v>
      </c>
      <c r="BN395" t="s">
        <v>74</v>
      </c>
      <c r="BO395" t="s">
        <v>74</v>
      </c>
      <c r="BP395" t="s">
        <v>74</v>
      </c>
      <c r="BQ395" t="s">
        <v>74</v>
      </c>
      <c r="BR395" t="s">
        <v>101</v>
      </c>
      <c r="BS395" t="s">
        <v>3965</v>
      </c>
      <c r="BT395" t="str">
        <f>HYPERLINK("https%3A%2F%2Fwww.webofscience.com%2Fwos%2Fwoscc%2Ffull-record%2FWOS:000256713700003","View Full Record in Web of Science")</f>
        <v>View Full Record in Web of Science</v>
      </c>
    </row>
    <row r="396" spans="1:72" x14ac:dyDescent="0.15">
      <c r="A396" t="s">
        <v>72</v>
      </c>
      <c r="B396" t="s">
        <v>3966</v>
      </c>
      <c r="C396" t="s">
        <v>74</v>
      </c>
      <c r="D396" t="s">
        <v>74</v>
      </c>
      <c r="E396" t="s">
        <v>74</v>
      </c>
      <c r="F396" t="s">
        <v>3967</v>
      </c>
      <c r="G396" t="s">
        <v>74</v>
      </c>
      <c r="H396" t="s">
        <v>74</v>
      </c>
      <c r="I396" t="s">
        <v>3968</v>
      </c>
      <c r="J396" t="s">
        <v>3969</v>
      </c>
      <c r="K396" t="s">
        <v>74</v>
      </c>
      <c r="L396" t="s">
        <v>74</v>
      </c>
      <c r="M396" t="s">
        <v>78</v>
      </c>
      <c r="N396" t="s">
        <v>2737</v>
      </c>
      <c r="O396" t="s">
        <v>74</v>
      </c>
      <c r="P396" t="s">
        <v>74</v>
      </c>
      <c r="Q396" t="s">
        <v>74</v>
      </c>
      <c r="R396" t="s">
        <v>74</v>
      </c>
      <c r="S396" t="s">
        <v>74</v>
      </c>
      <c r="T396" t="s">
        <v>3970</v>
      </c>
      <c r="U396" t="s">
        <v>3971</v>
      </c>
      <c r="V396" t="s">
        <v>3972</v>
      </c>
      <c r="W396" t="s">
        <v>3973</v>
      </c>
      <c r="X396" t="s">
        <v>3974</v>
      </c>
      <c r="Y396" t="s">
        <v>3975</v>
      </c>
      <c r="Z396" t="s">
        <v>3976</v>
      </c>
      <c r="AA396" t="s">
        <v>3977</v>
      </c>
      <c r="AB396" t="s">
        <v>3978</v>
      </c>
      <c r="AC396" t="s">
        <v>74</v>
      </c>
      <c r="AD396" t="s">
        <v>74</v>
      </c>
      <c r="AE396" t="s">
        <v>74</v>
      </c>
      <c r="AF396" t="s">
        <v>74</v>
      </c>
      <c r="AG396">
        <v>46</v>
      </c>
      <c r="AH396">
        <v>3</v>
      </c>
      <c r="AI396">
        <v>3</v>
      </c>
      <c r="AJ396">
        <v>1</v>
      </c>
      <c r="AK396">
        <v>11</v>
      </c>
      <c r="AL396" t="s">
        <v>3979</v>
      </c>
      <c r="AM396" t="s">
        <v>2747</v>
      </c>
      <c r="AN396" t="s">
        <v>3980</v>
      </c>
      <c r="AO396" t="s">
        <v>3981</v>
      </c>
      <c r="AP396" t="s">
        <v>74</v>
      </c>
      <c r="AQ396" t="s">
        <v>74</v>
      </c>
      <c r="AR396" t="s">
        <v>3982</v>
      </c>
      <c r="AS396" t="s">
        <v>3983</v>
      </c>
      <c r="AT396" t="s">
        <v>3984</v>
      </c>
      <c r="AU396">
        <v>2008</v>
      </c>
      <c r="AV396">
        <v>42</v>
      </c>
      <c r="AW396">
        <v>7</v>
      </c>
      <c r="AX396" t="s">
        <v>74</v>
      </c>
      <c r="AY396" t="s">
        <v>74</v>
      </c>
      <c r="AZ396" t="s">
        <v>74</v>
      </c>
      <c r="BA396" t="s">
        <v>74</v>
      </c>
      <c r="BB396">
        <v>594</v>
      </c>
      <c r="BC396">
        <v>600</v>
      </c>
      <c r="BD396" t="s">
        <v>74</v>
      </c>
      <c r="BE396" t="s">
        <v>3985</v>
      </c>
      <c r="BF396" t="str">
        <f>HYPERLINK("http://dx.doi.org/10.1016/j.enzmictec.2008.02.005","http://dx.doi.org/10.1016/j.enzmictec.2008.02.005")</f>
        <v>http://dx.doi.org/10.1016/j.enzmictec.2008.02.005</v>
      </c>
      <c r="BG396" t="s">
        <v>74</v>
      </c>
      <c r="BH396" t="s">
        <v>74</v>
      </c>
      <c r="BI396">
        <v>7</v>
      </c>
      <c r="BJ396" t="s">
        <v>3986</v>
      </c>
      <c r="BK396" t="s">
        <v>419</v>
      </c>
      <c r="BL396" t="s">
        <v>3986</v>
      </c>
      <c r="BM396" t="s">
        <v>3987</v>
      </c>
      <c r="BN396" t="s">
        <v>74</v>
      </c>
      <c r="BO396" t="s">
        <v>74</v>
      </c>
      <c r="BP396" t="s">
        <v>74</v>
      </c>
      <c r="BQ396" t="s">
        <v>74</v>
      </c>
      <c r="BR396" t="s">
        <v>101</v>
      </c>
      <c r="BS396" t="s">
        <v>3988</v>
      </c>
      <c r="BT396" t="str">
        <f>HYPERLINK("https%3A%2F%2Fwww.webofscience.com%2Fwos%2Fwoscc%2Ffull-record%2FWOS:000256640400010","View Full Record in Web of Science")</f>
        <v>View Full Record in Web of Science</v>
      </c>
    </row>
    <row r="397" spans="1:72" x14ac:dyDescent="0.15">
      <c r="A397" t="s">
        <v>72</v>
      </c>
      <c r="B397" t="s">
        <v>3989</v>
      </c>
      <c r="C397" t="s">
        <v>74</v>
      </c>
      <c r="D397" t="s">
        <v>74</v>
      </c>
      <c r="E397" t="s">
        <v>74</v>
      </c>
      <c r="F397" t="s">
        <v>3990</v>
      </c>
      <c r="G397" t="s">
        <v>74</v>
      </c>
      <c r="H397" t="s">
        <v>74</v>
      </c>
      <c r="I397" t="s">
        <v>3991</v>
      </c>
      <c r="J397" t="s">
        <v>3295</v>
      </c>
      <c r="K397" t="s">
        <v>74</v>
      </c>
      <c r="L397" t="s">
        <v>74</v>
      </c>
      <c r="M397" t="s">
        <v>78</v>
      </c>
      <c r="N397" t="s">
        <v>2737</v>
      </c>
      <c r="O397" t="s">
        <v>74</v>
      </c>
      <c r="P397" t="s">
        <v>74</v>
      </c>
      <c r="Q397" t="s">
        <v>74</v>
      </c>
      <c r="R397" t="s">
        <v>74</v>
      </c>
      <c r="S397" t="s">
        <v>74</v>
      </c>
      <c r="T397" t="s">
        <v>74</v>
      </c>
      <c r="U397" t="s">
        <v>3992</v>
      </c>
      <c r="V397" t="s">
        <v>3993</v>
      </c>
      <c r="W397" t="s">
        <v>3994</v>
      </c>
      <c r="X397" t="s">
        <v>3995</v>
      </c>
      <c r="Y397" t="s">
        <v>3996</v>
      </c>
      <c r="Z397" t="s">
        <v>3997</v>
      </c>
      <c r="AA397" t="s">
        <v>3998</v>
      </c>
      <c r="AB397" t="s">
        <v>3999</v>
      </c>
      <c r="AC397" t="s">
        <v>74</v>
      </c>
      <c r="AD397" t="s">
        <v>74</v>
      </c>
      <c r="AE397" t="s">
        <v>74</v>
      </c>
      <c r="AF397" t="s">
        <v>74</v>
      </c>
      <c r="AG397">
        <v>24</v>
      </c>
      <c r="AH397">
        <v>23</v>
      </c>
      <c r="AI397">
        <v>26</v>
      </c>
      <c r="AJ397">
        <v>0</v>
      </c>
      <c r="AK397">
        <v>6</v>
      </c>
      <c r="AL397" t="s">
        <v>3280</v>
      </c>
      <c r="AM397" t="s">
        <v>3281</v>
      </c>
      <c r="AN397" t="s">
        <v>3282</v>
      </c>
      <c r="AO397" t="s">
        <v>3304</v>
      </c>
      <c r="AP397" t="s">
        <v>3305</v>
      </c>
      <c r="AQ397" t="s">
        <v>74</v>
      </c>
      <c r="AR397" t="s">
        <v>3306</v>
      </c>
      <c r="AS397" t="s">
        <v>3307</v>
      </c>
      <c r="AT397" t="s">
        <v>3984</v>
      </c>
      <c r="AU397">
        <v>2008</v>
      </c>
      <c r="AV397">
        <v>35</v>
      </c>
      <c r="AW397">
        <v>11</v>
      </c>
      <c r="AX397" t="s">
        <v>74</v>
      </c>
      <c r="AY397" t="s">
        <v>74</v>
      </c>
      <c r="AZ397" t="s">
        <v>74</v>
      </c>
      <c r="BA397" t="s">
        <v>74</v>
      </c>
      <c r="BB397" t="s">
        <v>74</v>
      </c>
      <c r="BC397" t="s">
        <v>74</v>
      </c>
      <c r="BD397" t="s">
        <v>4000</v>
      </c>
      <c r="BE397" t="s">
        <v>4001</v>
      </c>
      <c r="BF397" t="str">
        <f>HYPERLINK("http://dx.doi.org/10.1029/2008GL033397","http://dx.doi.org/10.1029/2008GL033397")</f>
        <v>http://dx.doi.org/10.1029/2008GL033397</v>
      </c>
      <c r="BG397" t="s">
        <v>74</v>
      </c>
      <c r="BH397" t="s">
        <v>74</v>
      </c>
      <c r="BI397">
        <v>5</v>
      </c>
      <c r="BJ397" t="s">
        <v>3093</v>
      </c>
      <c r="BK397" t="s">
        <v>419</v>
      </c>
      <c r="BL397" t="s">
        <v>3094</v>
      </c>
      <c r="BM397" t="s">
        <v>4002</v>
      </c>
      <c r="BN397" t="s">
        <v>74</v>
      </c>
      <c r="BO397" t="s">
        <v>3290</v>
      </c>
      <c r="BP397" t="s">
        <v>74</v>
      </c>
      <c r="BQ397" t="s">
        <v>74</v>
      </c>
      <c r="BR397" t="s">
        <v>101</v>
      </c>
      <c r="BS397" t="s">
        <v>4003</v>
      </c>
      <c r="BT397" t="str">
        <f>HYPERLINK("https%3A%2F%2Fwww.webofscience.com%2Fwos%2Fwoscc%2Ffull-record%2FWOS:000256558500003","View Full Record in Web of Science")</f>
        <v>View Full Record in Web of Science</v>
      </c>
    </row>
    <row r="398" spans="1:72" x14ac:dyDescent="0.15">
      <c r="A398" t="s">
        <v>72</v>
      </c>
      <c r="B398" t="s">
        <v>4004</v>
      </c>
      <c r="C398" t="s">
        <v>74</v>
      </c>
      <c r="D398" t="s">
        <v>74</v>
      </c>
      <c r="E398" t="s">
        <v>74</v>
      </c>
      <c r="F398" t="s">
        <v>4005</v>
      </c>
      <c r="G398" t="s">
        <v>74</v>
      </c>
      <c r="H398" t="s">
        <v>74</v>
      </c>
      <c r="I398" t="s">
        <v>4006</v>
      </c>
      <c r="J398" t="s">
        <v>3295</v>
      </c>
      <c r="K398" t="s">
        <v>74</v>
      </c>
      <c r="L398" t="s">
        <v>74</v>
      </c>
      <c r="M398" t="s">
        <v>78</v>
      </c>
      <c r="N398" t="s">
        <v>2737</v>
      </c>
      <c r="O398" t="s">
        <v>74</v>
      </c>
      <c r="P398" t="s">
        <v>74</v>
      </c>
      <c r="Q398" t="s">
        <v>74</v>
      </c>
      <c r="R398" t="s">
        <v>74</v>
      </c>
      <c r="S398" t="s">
        <v>74</v>
      </c>
      <c r="T398" t="s">
        <v>74</v>
      </c>
      <c r="U398" t="s">
        <v>4007</v>
      </c>
      <c r="V398" t="s">
        <v>4008</v>
      </c>
      <c r="W398" t="s">
        <v>4009</v>
      </c>
      <c r="X398" t="s">
        <v>4010</v>
      </c>
      <c r="Y398" t="s">
        <v>4011</v>
      </c>
      <c r="Z398" t="s">
        <v>4012</v>
      </c>
      <c r="AA398" t="s">
        <v>74</v>
      </c>
      <c r="AB398" t="s">
        <v>74</v>
      </c>
      <c r="AC398" t="s">
        <v>74</v>
      </c>
      <c r="AD398" t="s">
        <v>74</v>
      </c>
      <c r="AE398" t="s">
        <v>74</v>
      </c>
      <c r="AF398" t="s">
        <v>74</v>
      </c>
      <c r="AG398">
        <v>25</v>
      </c>
      <c r="AH398">
        <v>8</v>
      </c>
      <c r="AI398">
        <v>8</v>
      </c>
      <c r="AJ398">
        <v>0</v>
      </c>
      <c r="AK398">
        <v>3</v>
      </c>
      <c r="AL398" t="s">
        <v>3280</v>
      </c>
      <c r="AM398" t="s">
        <v>3281</v>
      </c>
      <c r="AN398" t="s">
        <v>3282</v>
      </c>
      <c r="AO398" t="s">
        <v>3304</v>
      </c>
      <c r="AP398" t="s">
        <v>3305</v>
      </c>
      <c r="AQ398" t="s">
        <v>74</v>
      </c>
      <c r="AR398" t="s">
        <v>3306</v>
      </c>
      <c r="AS398" t="s">
        <v>3307</v>
      </c>
      <c r="AT398" t="s">
        <v>3984</v>
      </c>
      <c r="AU398">
        <v>2008</v>
      </c>
      <c r="AV398">
        <v>35</v>
      </c>
      <c r="AW398">
        <v>11</v>
      </c>
      <c r="AX398" t="s">
        <v>74</v>
      </c>
      <c r="AY398" t="s">
        <v>74</v>
      </c>
      <c r="AZ398" t="s">
        <v>74</v>
      </c>
      <c r="BA398" t="s">
        <v>74</v>
      </c>
      <c r="BB398" t="s">
        <v>74</v>
      </c>
      <c r="BC398" t="s">
        <v>74</v>
      </c>
      <c r="BD398" t="s">
        <v>4013</v>
      </c>
      <c r="BE398" t="s">
        <v>4014</v>
      </c>
      <c r="BF398" t="str">
        <f>HYPERLINK("http://dx.doi.org/10.1029/2007GL032915","http://dx.doi.org/10.1029/2007GL032915")</f>
        <v>http://dx.doi.org/10.1029/2007GL032915</v>
      </c>
      <c r="BG398" t="s">
        <v>74</v>
      </c>
      <c r="BH398" t="s">
        <v>74</v>
      </c>
      <c r="BI398">
        <v>4</v>
      </c>
      <c r="BJ398" t="s">
        <v>3093</v>
      </c>
      <c r="BK398" t="s">
        <v>419</v>
      </c>
      <c r="BL398" t="s">
        <v>3094</v>
      </c>
      <c r="BM398" t="s">
        <v>4002</v>
      </c>
      <c r="BN398" t="s">
        <v>74</v>
      </c>
      <c r="BO398" t="s">
        <v>4015</v>
      </c>
      <c r="BP398" t="s">
        <v>74</v>
      </c>
      <c r="BQ398" t="s">
        <v>74</v>
      </c>
      <c r="BR398" t="s">
        <v>101</v>
      </c>
      <c r="BS398" t="s">
        <v>4016</v>
      </c>
      <c r="BT398" t="str">
        <f>HYPERLINK("https%3A%2F%2Fwww.webofscience.com%2Fwos%2Fwoscc%2Ffull-record%2FWOS:000256558500001","View Full Record in Web of Science")</f>
        <v>View Full Record in Web of Science</v>
      </c>
    </row>
    <row r="399" spans="1:72" x14ac:dyDescent="0.15">
      <c r="A399" t="s">
        <v>72</v>
      </c>
      <c r="B399" t="s">
        <v>4017</v>
      </c>
      <c r="C399" t="s">
        <v>74</v>
      </c>
      <c r="D399" t="s">
        <v>74</v>
      </c>
      <c r="E399" t="s">
        <v>74</v>
      </c>
      <c r="F399" t="s">
        <v>4018</v>
      </c>
      <c r="G399" t="s">
        <v>74</v>
      </c>
      <c r="H399" t="s">
        <v>74</v>
      </c>
      <c r="I399" t="s">
        <v>4019</v>
      </c>
      <c r="J399" t="s">
        <v>4020</v>
      </c>
      <c r="K399" t="s">
        <v>74</v>
      </c>
      <c r="L399" t="s">
        <v>74</v>
      </c>
      <c r="M399" t="s">
        <v>78</v>
      </c>
      <c r="N399" t="s">
        <v>2737</v>
      </c>
      <c r="O399" t="s">
        <v>74</v>
      </c>
      <c r="P399" t="s">
        <v>74</v>
      </c>
      <c r="Q399" t="s">
        <v>74</v>
      </c>
      <c r="R399" t="s">
        <v>74</v>
      </c>
      <c r="S399" t="s">
        <v>74</v>
      </c>
      <c r="T399" t="s">
        <v>74</v>
      </c>
      <c r="U399" t="s">
        <v>4021</v>
      </c>
      <c r="V399" t="s">
        <v>4022</v>
      </c>
      <c r="W399" t="s">
        <v>4023</v>
      </c>
      <c r="X399" t="s">
        <v>108</v>
      </c>
      <c r="Y399" t="s">
        <v>4024</v>
      </c>
      <c r="Z399" t="s">
        <v>74</v>
      </c>
      <c r="AA399" t="s">
        <v>74</v>
      </c>
      <c r="AB399" t="s">
        <v>74</v>
      </c>
      <c r="AC399" t="s">
        <v>74</v>
      </c>
      <c r="AD399" t="s">
        <v>74</v>
      </c>
      <c r="AE399" t="s">
        <v>74</v>
      </c>
      <c r="AF399" t="s">
        <v>74</v>
      </c>
      <c r="AG399">
        <v>83</v>
      </c>
      <c r="AH399">
        <v>152</v>
      </c>
      <c r="AI399">
        <v>168</v>
      </c>
      <c r="AJ399">
        <v>0</v>
      </c>
      <c r="AK399">
        <v>27</v>
      </c>
      <c r="AL399" t="s">
        <v>3280</v>
      </c>
      <c r="AM399" t="s">
        <v>3281</v>
      </c>
      <c r="AN399" t="s">
        <v>3282</v>
      </c>
      <c r="AO399" t="s">
        <v>4025</v>
      </c>
      <c r="AP399" t="s">
        <v>4026</v>
      </c>
      <c r="AQ399" t="s">
        <v>74</v>
      </c>
      <c r="AR399" t="s">
        <v>4027</v>
      </c>
      <c r="AS399" t="s">
        <v>4028</v>
      </c>
      <c r="AT399" t="s">
        <v>3984</v>
      </c>
      <c r="AU399">
        <v>2008</v>
      </c>
      <c r="AV399">
        <v>113</v>
      </c>
      <c r="AW399" t="s">
        <v>4029</v>
      </c>
      <c r="AX399" t="s">
        <v>74</v>
      </c>
      <c r="AY399" t="s">
        <v>74</v>
      </c>
      <c r="AZ399" t="s">
        <v>74</v>
      </c>
      <c r="BA399" t="s">
        <v>74</v>
      </c>
      <c r="BB399" t="s">
        <v>74</v>
      </c>
      <c r="BC399" t="s">
        <v>74</v>
      </c>
      <c r="BD399" t="s">
        <v>4030</v>
      </c>
      <c r="BE399" t="s">
        <v>4031</v>
      </c>
      <c r="BF399" t="str">
        <f>HYPERLINK("http://dx.doi.org/10.1029/2007JB005499","http://dx.doi.org/10.1029/2007JB005499")</f>
        <v>http://dx.doi.org/10.1029/2007JB005499</v>
      </c>
      <c r="BG399" t="s">
        <v>74</v>
      </c>
      <c r="BH399" t="s">
        <v>74</v>
      </c>
      <c r="BI399">
        <v>21</v>
      </c>
      <c r="BJ399" t="s">
        <v>98</v>
      </c>
      <c r="BK399" t="s">
        <v>419</v>
      </c>
      <c r="BL399" t="s">
        <v>98</v>
      </c>
      <c r="BM399" t="s">
        <v>4032</v>
      </c>
      <c r="BN399" t="s">
        <v>74</v>
      </c>
      <c r="BO399" t="s">
        <v>3290</v>
      </c>
      <c r="BP399" t="s">
        <v>74</v>
      </c>
      <c r="BQ399" t="s">
        <v>74</v>
      </c>
      <c r="BR399" t="s">
        <v>101</v>
      </c>
      <c r="BS399" t="s">
        <v>4033</v>
      </c>
      <c r="BT399" t="str">
        <f>HYPERLINK("https%3A%2F%2Fwww.webofscience.com%2Fwos%2Fwoscc%2Ffull-record%2FWOS:000256566500003","View Full Record in Web of Science")</f>
        <v>View Full Record in Web of Science</v>
      </c>
    </row>
    <row r="400" spans="1:72" x14ac:dyDescent="0.15">
      <c r="A400" t="s">
        <v>72</v>
      </c>
      <c r="B400" t="s">
        <v>4034</v>
      </c>
      <c r="C400" t="s">
        <v>74</v>
      </c>
      <c r="D400" t="s">
        <v>74</v>
      </c>
      <c r="E400" t="s">
        <v>74</v>
      </c>
      <c r="F400" t="s">
        <v>4035</v>
      </c>
      <c r="G400" t="s">
        <v>74</v>
      </c>
      <c r="H400" t="s">
        <v>74</v>
      </c>
      <c r="I400" t="s">
        <v>4036</v>
      </c>
      <c r="J400" t="s">
        <v>3540</v>
      </c>
      <c r="K400" t="s">
        <v>74</v>
      </c>
      <c r="L400" t="s">
        <v>74</v>
      </c>
      <c r="M400" t="s">
        <v>78</v>
      </c>
      <c r="N400" t="s">
        <v>2737</v>
      </c>
      <c r="O400" t="s">
        <v>74</v>
      </c>
      <c r="P400" t="s">
        <v>74</v>
      </c>
      <c r="Q400" t="s">
        <v>74</v>
      </c>
      <c r="R400" t="s">
        <v>74</v>
      </c>
      <c r="S400" t="s">
        <v>74</v>
      </c>
      <c r="T400" t="s">
        <v>74</v>
      </c>
      <c r="U400" t="s">
        <v>4037</v>
      </c>
      <c r="V400" t="s">
        <v>4038</v>
      </c>
      <c r="W400" t="s">
        <v>4039</v>
      </c>
      <c r="X400" t="s">
        <v>4040</v>
      </c>
      <c r="Y400" t="s">
        <v>4041</v>
      </c>
      <c r="Z400" t="s">
        <v>4042</v>
      </c>
      <c r="AA400" t="s">
        <v>4043</v>
      </c>
      <c r="AB400" t="s">
        <v>4044</v>
      </c>
      <c r="AC400" t="s">
        <v>4045</v>
      </c>
      <c r="AD400" t="s">
        <v>3031</v>
      </c>
      <c r="AE400" t="s">
        <v>74</v>
      </c>
      <c r="AF400" t="s">
        <v>74</v>
      </c>
      <c r="AG400">
        <v>34</v>
      </c>
      <c r="AH400">
        <v>114</v>
      </c>
      <c r="AI400">
        <v>143</v>
      </c>
      <c r="AJ400">
        <v>0</v>
      </c>
      <c r="AK400">
        <v>30</v>
      </c>
      <c r="AL400" t="s">
        <v>3549</v>
      </c>
      <c r="AM400" t="s">
        <v>3550</v>
      </c>
      <c r="AN400" t="s">
        <v>3551</v>
      </c>
      <c r="AO400" t="s">
        <v>3552</v>
      </c>
      <c r="AP400" t="s">
        <v>3553</v>
      </c>
      <c r="AQ400" t="s">
        <v>74</v>
      </c>
      <c r="AR400" t="s">
        <v>3540</v>
      </c>
      <c r="AS400" t="s">
        <v>3554</v>
      </c>
      <c r="AT400" t="s">
        <v>3984</v>
      </c>
      <c r="AU400">
        <v>2008</v>
      </c>
      <c r="AV400">
        <v>453</v>
      </c>
      <c r="AW400">
        <v>7196</v>
      </c>
      <c r="AX400" t="s">
        <v>74</v>
      </c>
      <c r="AY400" t="s">
        <v>74</v>
      </c>
      <c r="AZ400" t="s">
        <v>74</v>
      </c>
      <c r="BA400" t="s">
        <v>74</v>
      </c>
      <c r="BB400">
        <v>770</v>
      </c>
      <c r="BC400" t="s">
        <v>4046</v>
      </c>
      <c r="BD400" t="s">
        <v>74</v>
      </c>
      <c r="BE400" t="s">
        <v>4047</v>
      </c>
      <c r="BF400" t="str">
        <f>HYPERLINK("http://dx.doi.org/10.1038/nature06990","http://dx.doi.org/10.1038/nature06990")</f>
        <v>http://dx.doi.org/10.1038/nature06990</v>
      </c>
      <c r="BG400" t="s">
        <v>74</v>
      </c>
      <c r="BH400" t="s">
        <v>74</v>
      </c>
      <c r="BI400">
        <v>6</v>
      </c>
      <c r="BJ400" t="s">
        <v>3123</v>
      </c>
      <c r="BK400" t="s">
        <v>419</v>
      </c>
      <c r="BL400" t="s">
        <v>3124</v>
      </c>
      <c r="BM400" t="s">
        <v>4048</v>
      </c>
      <c r="BN400">
        <v>18528392</v>
      </c>
      <c r="BO400" t="s">
        <v>74</v>
      </c>
      <c r="BP400" t="s">
        <v>74</v>
      </c>
      <c r="BQ400" t="s">
        <v>74</v>
      </c>
      <c r="BR400" t="s">
        <v>101</v>
      </c>
      <c r="BS400" t="s">
        <v>4049</v>
      </c>
      <c r="BT400" t="str">
        <f>HYPERLINK("https%3A%2F%2Fwww.webofscience.com%2Fwos%2Fwoscc%2Ffull-record%2FWOS:000256415300041","View Full Record in Web of Science")</f>
        <v>View Full Record in Web of Science</v>
      </c>
    </row>
    <row r="401" spans="1:72" x14ac:dyDescent="0.15">
      <c r="A401" t="s">
        <v>72</v>
      </c>
      <c r="B401" t="s">
        <v>4050</v>
      </c>
      <c r="C401" t="s">
        <v>74</v>
      </c>
      <c r="D401" t="s">
        <v>74</v>
      </c>
      <c r="E401" t="s">
        <v>74</v>
      </c>
      <c r="F401" t="s">
        <v>4051</v>
      </c>
      <c r="G401" t="s">
        <v>74</v>
      </c>
      <c r="H401" t="s">
        <v>74</v>
      </c>
      <c r="I401" t="s">
        <v>4052</v>
      </c>
      <c r="J401" t="s">
        <v>4053</v>
      </c>
      <c r="K401" t="s">
        <v>74</v>
      </c>
      <c r="L401" t="s">
        <v>74</v>
      </c>
      <c r="M401" t="s">
        <v>78</v>
      </c>
      <c r="N401" t="s">
        <v>2737</v>
      </c>
      <c r="O401" t="s">
        <v>74</v>
      </c>
      <c r="P401" t="s">
        <v>74</v>
      </c>
      <c r="Q401" t="s">
        <v>74</v>
      </c>
      <c r="R401" t="s">
        <v>74</v>
      </c>
      <c r="S401" t="s">
        <v>74</v>
      </c>
      <c r="T401" t="s">
        <v>74</v>
      </c>
      <c r="U401" t="s">
        <v>4054</v>
      </c>
      <c r="V401" t="s">
        <v>4055</v>
      </c>
      <c r="W401" t="s">
        <v>4056</v>
      </c>
      <c r="X401" t="s">
        <v>4057</v>
      </c>
      <c r="Y401" t="s">
        <v>4058</v>
      </c>
      <c r="Z401" t="s">
        <v>4059</v>
      </c>
      <c r="AA401" t="s">
        <v>4060</v>
      </c>
      <c r="AB401" t="s">
        <v>4061</v>
      </c>
      <c r="AC401" t="s">
        <v>4062</v>
      </c>
      <c r="AD401" t="s">
        <v>4063</v>
      </c>
      <c r="AE401" t="s">
        <v>74</v>
      </c>
      <c r="AF401" t="s">
        <v>74</v>
      </c>
      <c r="AG401">
        <v>33</v>
      </c>
      <c r="AH401">
        <v>9</v>
      </c>
      <c r="AI401">
        <v>11</v>
      </c>
      <c r="AJ401">
        <v>0</v>
      </c>
      <c r="AK401">
        <v>7</v>
      </c>
      <c r="AL401" t="s">
        <v>4064</v>
      </c>
      <c r="AM401" t="s">
        <v>3281</v>
      </c>
      <c r="AN401" t="s">
        <v>4065</v>
      </c>
      <c r="AO401" t="s">
        <v>4066</v>
      </c>
      <c r="AP401" t="s">
        <v>74</v>
      </c>
      <c r="AQ401" t="s">
        <v>74</v>
      </c>
      <c r="AR401" t="s">
        <v>4067</v>
      </c>
      <c r="AS401" t="s">
        <v>4068</v>
      </c>
      <c r="AT401" t="s">
        <v>4069</v>
      </c>
      <c r="AU401">
        <v>2008</v>
      </c>
      <c r="AV401">
        <v>47</v>
      </c>
      <c r="AW401">
        <v>22</v>
      </c>
      <c r="AX401" t="s">
        <v>74</v>
      </c>
      <c r="AY401" t="s">
        <v>74</v>
      </c>
      <c r="AZ401" t="s">
        <v>74</v>
      </c>
      <c r="BA401" t="s">
        <v>74</v>
      </c>
      <c r="BB401">
        <v>5935</v>
      </c>
      <c r="BC401">
        <v>5941</v>
      </c>
      <c r="BD401" t="s">
        <v>74</v>
      </c>
      <c r="BE401" t="s">
        <v>4070</v>
      </c>
      <c r="BF401" t="str">
        <f>HYPERLINK("http://dx.doi.org/10.1021/bi8001924","http://dx.doi.org/10.1021/bi8001924")</f>
        <v>http://dx.doi.org/10.1021/bi8001924</v>
      </c>
      <c r="BG401" t="s">
        <v>74</v>
      </c>
      <c r="BH401" t="s">
        <v>74</v>
      </c>
      <c r="BI401">
        <v>7</v>
      </c>
      <c r="BJ401" t="s">
        <v>4071</v>
      </c>
      <c r="BK401" t="s">
        <v>419</v>
      </c>
      <c r="BL401" t="s">
        <v>4071</v>
      </c>
      <c r="BM401" t="s">
        <v>4072</v>
      </c>
      <c r="BN401">
        <v>18459801</v>
      </c>
      <c r="BO401" t="s">
        <v>74</v>
      </c>
      <c r="BP401" t="s">
        <v>74</v>
      </c>
      <c r="BQ401" t="s">
        <v>74</v>
      </c>
      <c r="BR401" t="s">
        <v>101</v>
      </c>
      <c r="BS401" t="s">
        <v>4073</v>
      </c>
      <c r="BT401" t="str">
        <f>HYPERLINK("https%3A%2F%2Fwww.webofscience.com%2Fwos%2Fwoscc%2Ffull-record%2FWOS:000256256200005","View Full Record in Web of Science")</f>
        <v>View Full Record in Web of Science</v>
      </c>
    </row>
    <row r="402" spans="1:72" x14ac:dyDescent="0.15">
      <c r="A402" t="s">
        <v>72</v>
      </c>
      <c r="B402" t="s">
        <v>4074</v>
      </c>
      <c r="C402" t="s">
        <v>74</v>
      </c>
      <c r="D402" t="s">
        <v>74</v>
      </c>
      <c r="E402" t="s">
        <v>74</v>
      </c>
      <c r="F402" t="s">
        <v>4075</v>
      </c>
      <c r="G402" t="s">
        <v>74</v>
      </c>
      <c r="H402" t="s">
        <v>74</v>
      </c>
      <c r="I402" t="s">
        <v>4076</v>
      </c>
      <c r="J402" t="s">
        <v>4077</v>
      </c>
      <c r="K402" t="s">
        <v>74</v>
      </c>
      <c r="L402" t="s">
        <v>74</v>
      </c>
      <c r="M402" t="s">
        <v>78</v>
      </c>
      <c r="N402" t="s">
        <v>2737</v>
      </c>
      <c r="O402" t="s">
        <v>74</v>
      </c>
      <c r="P402" t="s">
        <v>74</v>
      </c>
      <c r="Q402" t="s">
        <v>74</v>
      </c>
      <c r="R402" t="s">
        <v>74</v>
      </c>
      <c r="S402" t="s">
        <v>74</v>
      </c>
      <c r="T402" t="s">
        <v>74</v>
      </c>
      <c r="U402" t="s">
        <v>4078</v>
      </c>
      <c r="V402" t="s">
        <v>4079</v>
      </c>
      <c r="W402" t="s">
        <v>4080</v>
      </c>
      <c r="X402" t="s">
        <v>4081</v>
      </c>
      <c r="Y402" t="s">
        <v>4082</v>
      </c>
      <c r="Z402" t="s">
        <v>4083</v>
      </c>
      <c r="AA402" t="s">
        <v>4084</v>
      </c>
      <c r="AB402" t="s">
        <v>4085</v>
      </c>
      <c r="AC402" t="s">
        <v>4086</v>
      </c>
      <c r="AD402" t="s">
        <v>3031</v>
      </c>
      <c r="AE402" t="s">
        <v>74</v>
      </c>
      <c r="AF402" t="s">
        <v>74</v>
      </c>
      <c r="AG402">
        <v>38</v>
      </c>
      <c r="AH402">
        <v>3</v>
      </c>
      <c r="AI402">
        <v>4</v>
      </c>
      <c r="AJ402">
        <v>3</v>
      </c>
      <c r="AK402">
        <v>18</v>
      </c>
      <c r="AL402" t="s">
        <v>3280</v>
      </c>
      <c r="AM402" t="s">
        <v>3281</v>
      </c>
      <c r="AN402" t="s">
        <v>3282</v>
      </c>
      <c r="AO402" t="s">
        <v>4087</v>
      </c>
      <c r="AP402" t="s">
        <v>4088</v>
      </c>
      <c r="AQ402" t="s">
        <v>74</v>
      </c>
      <c r="AR402" t="s">
        <v>4089</v>
      </c>
      <c r="AS402" t="s">
        <v>4090</v>
      </c>
      <c r="AT402" t="s">
        <v>4069</v>
      </c>
      <c r="AU402">
        <v>2008</v>
      </c>
      <c r="AV402">
        <v>113</v>
      </c>
      <c r="AW402" t="s">
        <v>4091</v>
      </c>
      <c r="AX402" t="s">
        <v>74</v>
      </c>
      <c r="AY402" t="s">
        <v>74</v>
      </c>
      <c r="AZ402" t="s">
        <v>74</v>
      </c>
      <c r="BA402" t="s">
        <v>74</v>
      </c>
      <c r="BB402" t="s">
        <v>74</v>
      </c>
      <c r="BC402" t="s">
        <v>74</v>
      </c>
      <c r="BD402" t="s">
        <v>4092</v>
      </c>
      <c r="BE402" t="s">
        <v>4093</v>
      </c>
      <c r="BF402" t="str">
        <f>HYPERLINK("http://dx.doi.org/10.1029/2007JG000554","http://dx.doi.org/10.1029/2007JG000554")</f>
        <v>http://dx.doi.org/10.1029/2007JG000554</v>
      </c>
      <c r="BG402" t="s">
        <v>74</v>
      </c>
      <c r="BH402" t="s">
        <v>74</v>
      </c>
      <c r="BI402">
        <v>13</v>
      </c>
      <c r="BJ402" t="s">
        <v>4094</v>
      </c>
      <c r="BK402" t="s">
        <v>419</v>
      </c>
      <c r="BL402" t="s">
        <v>4095</v>
      </c>
      <c r="BM402" t="s">
        <v>4096</v>
      </c>
      <c r="BN402" t="s">
        <v>74</v>
      </c>
      <c r="BO402" t="s">
        <v>3290</v>
      </c>
      <c r="BP402" t="s">
        <v>74</v>
      </c>
      <c r="BQ402" t="s">
        <v>74</v>
      </c>
      <c r="BR402" t="s">
        <v>101</v>
      </c>
      <c r="BS402" t="s">
        <v>4097</v>
      </c>
      <c r="BT402" t="str">
        <f>HYPERLINK("https%3A%2F%2Fwww.webofscience.com%2Fwos%2Fwoscc%2Ffull-record%2FWOS:000256561800002","View Full Record in Web of Science")</f>
        <v>View Full Record in Web of Science</v>
      </c>
    </row>
    <row r="403" spans="1:72" x14ac:dyDescent="0.15">
      <c r="A403" t="s">
        <v>72</v>
      </c>
      <c r="B403" t="s">
        <v>4098</v>
      </c>
      <c r="C403" t="s">
        <v>74</v>
      </c>
      <c r="D403" t="s">
        <v>74</v>
      </c>
      <c r="E403" t="s">
        <v>74</v>
      </c>
      <c r="F403" t="s">
        <v>4099</v>
      </c>
      <c r="G403" t="s">
        <v>74</v>
      </c>
      <c r="H403" t="s">
        <v>74</v>
      </c>
      <c r="I403" t="s">
        <v>4100</v>
      </c>
      <c r="J403" t="s">
        <v>4101</v>
      </c>
      <c r="K403" t="s">
        <v>74</v>
      </c>
      <c r="L403" t="s">
        <v>74</v>
      </c>
      <c r="M403" t="s">
        <v>78</v>
      </c>
      <c r="N403" t="s">
        <v>2737</v>
      </c>
      <c r="O403" t="s">
        <v>74</v>
      </c>
      <c r="P403" t="s">
        <v>74</v>
      </c>
      <c r="Q403" t="s">
        <v>74</v>
      </c>
      <c r="R403" t="s">
        <v>74</v>
      </c>
      <c r="S403" t="s">
        <v>74</v>
      </c>
      <c r="T403" t="s">
        <v>4102</v>
      </c>
      <c r="U403" t="s">
        <v>4103</v>
      </c>
      <c r="V403" t="s">
        <v>4104</v>
      </c>
      <c r="W403" t="s">
        <v>4105</v>
      </c>
      <c r="X403" t="s">
        <v>4106</v>
      </c>
      <c r="Y403" t="s">
        <v>4107</v>
      </c>
      <c r="Z403" t="s">
        <v>4108</v>
      </c>
      <c r="AA403" t="s">
        <v>4109</v>
      </c>
      <c r="AB403" t="s">
        <v>4110</v>
      </c>
      <c r="AC403" t="s">
        <v>74</v>
      </c>
      <c r="AD403" t="s">
        <v>74</v>
      </c>
      <c r="AE403" t="s">
        <v>74</v>
      </c>
      <c r="AF403" t="s">
        <v>74</v>
      </c>
      <c r="AG403">
        <v>70</v>
      </c>
      <c r="AH403">
        <v>53</v>
      </c>
      <c r="AI403">
        <v>65</v>
      </c>
      <c r="AJ403">
        <v>0</v>
      </c>
      <c r="AK403">
        <v>44</v>
      </c>
      <c r="AL403" t="s">
        <v>4111</v>
      </c>
      <c r="AM403" t="s">
        <v>4112</v>
      </c>
      <c r="AN403" t="s">
        <v>4113</v>
      </c>
      <c r="AO403" t="s">
        <v>4114</v>
      </c>
      <c r="AP403" t="s">
        <v>74</v>
      </c>
      <c r="AQ403" t="s">
        <v>74</v>
      </c>
      <c r="AR403" t="s">
        <v>4115</v>
      </c>
      <c r="AS403" t="s">
        <v>4116</v>
      </c>
      <c r="AT403" t="s">
        <v>4117</v>
      </c>
      <c r="AU403">
        <v>2008</v>
      </c>
      <c r="AV403">
        <v>294</v>
      </c>
      <c r="AW403">
        <v>6</v>
      </c>
      <c r="AX403" t="s">
        <v>74</v>
      </c>
      <c r="AY403" t="s">
        <v>74</v>
      </c>
      <c r="AZ403" t="s">
        <v>74</v>
      </c>
      <c r="BA403" t="s">
        <v>74</v>
      </c>
      <c r="BB403" t="s">
        <v>4118</v>
      </c>
      <c r="BC403" t="s">
        <v>4119</v>
      </c>
      <c r="BD403" t="s">
        <v>74</v>
      </c>
      <c r="BE403" t="s">
        <v>4120</v>
      </c>
      <c r="BF403" t="str">
        <f>HYPERLINK("http://dx.doi.org/10.1152/ajpregu.00459.2007","http://dx.doi.org/10.1152/ajpregu.00459.2007")</f>
        <v>http://dx.doi.org/10.1152/ajpregu.00459.2007</v>
      </c>
      <c r="BG403" t="s">
        <v>74</v>
      </c>
      <c r="BH403" t="s">
        <v>74</v>
      </c>
      <c r="BI403">
        <v>9</v>
      </c>
      <c r="BJ403" t="s">
        <v>4121</v>
      </c>
      <c r="BK403" t="s">
        <v>419</v>
      </c>
      <c r="BL403" t="s">
        <v>4121</v>
      </c>
      <c r="BM403" t="s">
        <v>4122</v>
      </c>
      <c r="BN403">
        <v>18417647</v>
      </c>
      <c r="BO403" t="s">
        <v>74</v>
      </c>
      <c r="BP403" t="s">
        <v>74</v>
      </c>
      <c r="BQ403" t="s">
        <v>74</v>
      </c>
      <c r="BR403" t="s">
        <v>101</v>
      </c>
      <c r="BS403" t="s">
        <v>4123</v>
      </c>
      <c r="BT403" t="str">
        <f>HYPERLINK("https%3A%2F%2Fwww.webofscience.com%2Fwos%2Fwoscc%2Ffull-record%2FWOS:000256438200022","View Full Record in Web of Science")</f>
        <v>View Full Record in Web of Science</v>
      </c>
    </row>
    <row r="404" spans="1:72" x14ac:dyDescent="0.15">
      <c r="A404" t="s">
        <v>72</v>
      </c>
      <c r="B404" t="s">
        <v>4124</v>
      </c>
      <c r="C404" t="s">
        <v>74</v>
      </c>
      <c r="D404" t="s">
        <v>74</v>
      </c>
      <c r="E404" t="s">
        <v>74</v>
      </c>
      <c r="F404" t="s">
        <v>4125</v>
      </c>
      <c r="G404" t="s">
        <v>74</v>
      </c>
      <c r="H404" t="s">
        <v>74</v>
      </c>
      <c r="I404" t="s">
        <v>4126</v>
      </c>
      <c r="J404" t="s">
        <v>4127</v>
      </c>
      <c r="K404" t="s">
        <v>74</v>
      </c>
      <c r="L404" t="s">
        <v>74</v>
      </c>
      <c r="M404" t="s">
        <v>78</v>
      </c>
      <c r="N404" t="s">
        <v>2989</v>
      </c>
      <c r="O404" t="s">
        <v>74</v>
      </c>
      <c r="P404" t="s">
        <v>74</v>
      </c>
      <c r="Q404" t="s">
        <v>74</v>
      </c>
      <c r="R404" t="s">
        <v>74</v>
      </c>
      <c r="S404" t="s">
        <v>74</v>
      </c>
      <c r="T404" t="s">
        <v>74</v>
      </c>
      <c r="U404" t="s">
        <v>74</v>
      </c>
      <c r="V404" t="s">
        <v>74</v>
      </c>
      <c r="W404" t="s">
        <v>74</v>
      </c>
      <c r="X404" t="s">
        <v>74</v>
      </c>
      <c r="Y404" t="s">
        <v>74</v>
      </c>
      <c r="Z404" t="s">
        <v>74</v>
      </c>
      <c r="AA404" t="s">
        <v>74</v>
      </c>
      <c r="AB404" t="s">
        <v>4128</v>
      </c>
      <c r="AC404" t="s">
        <v>74</v>
      </c>
      <c r="AD404" t="s">
        <v>74</v>
      </c>
      <c r="AE404" t="s">
        <v>74</v>
      </c>
      <c r="AF404" t="s">
        <v>74</v>
      </c>
      <c r="AG404">
        <v>0</v>
      </c>
      <c r="AH404">
        <v>1</v>
      </c>
      <c r="AI404">
        <v>1</v>
      </c>
      <c r="AJ404">
        <v>0</v>
      </c>
      <c r="AK404">
        <v>2</v>
      </c>
      <c r="AL404" t="s">
        <v>2964</v>
      </c>
      <c r="AM404" t="s">
        <v>2747</v>
      </c>
      <c r="AN404" t="s">
        <v>2965</v>
      </c>
      <c r="AO404" t="s">
        <v>4129</v>
      </c>
      <c r="AP404" t="s">
        <v>4130</v>
      </c>
      <c r="AQ404" t="s">
        <v>74</v>
      </c>
      <c r="AR404" t="s">
        <v>4131</v>
      </c>
      <c r="AS404" t="s">
        <v>4132</v>
      </c>
      <c r="AT404" t="s">
        <v>4117</v>
      </c>
      <c r="AU404">
        <v>2008</v>
      </c>
      <c r="AV404">
        <v>20</v>
      </c>
      <c r="AW404">
        <v>3</v>
      </c>
      <c r="AX404" t="s">
        <v>74</v>
      </c>
      <c r="AY404" t="s">
        <v>74</v>
      </c>
      <c r="AZ404" t="s">
        <v>74</v>
      </c>
      <c r="BA404" t="s">
        <v>74</v>
      </c>
      <c r="BB404">
        <v>209</v>
      </c>
      <c r="BC404">
        <v>209</v>
      </c>
      <c r="BD404" t="s">
        <v>74</v>
      </c>
      <c r="BE404" t="s">
        <v>4133</v>
      </c>
      <c r="BF404" t="str">
        <f>HYPERLINK("http://dx.doi.org/10.1017/S0954102008001193","http://dx.doi.org/10.1017/S0954102008001193")</f>
        <v>http://dx.doi.org/10.1017/S0954102008001193</v>
      </c>
      <c r="BG404" t="s">
        <v>74</v>
      </c>
      <c r="BH404" t="s">
        <v>74</v>
      </c>
      <c r="BI404">
        <v>1</v>
      </c>
      <c r="BJ404" t="s">
        <v>4134</v>
      </c>
      <c r="BK404" t="s">
        <v>419</v>
      </c>
      <c r="BL404" t="s">
        <v>4135</v>
      </c>
      <c r="BM404" t="s">
        <v>4136</v>
      </c>
      <c r="BN404" t="s">
        <v>74</v>
      </c>
      <c r="BO404" t="s">
        <v>74</v>
      </c>
      <c r="BP404" t="s">
        <v>74</v>
      </c>
      <c r="BQ404" t="s">
        <v>74</v>
      </c>
      <c r="BR404" t="s">
        <v>101</v>
      </c>
      <c r="BS404" t="s">
        <v>4137</v>
      </c>
      <c r="BT404" t="str">
        <f>HYPERLINK("https%3A%2F%2Fwww.webofscience.com%2Fwos%2Fwoscc%2Ffull-record%2FWOS:000257210100001","View Full Record in Web of Science")</f>
        <v>View Full Record in Web of Science</v>
      </c>
    </row>
    <row r="405" spans="1:72" x14ac:dyDescent="0.15">
      <c r="A405" t="s">
        <v>72</v>
      </c>
      <c r="B405" t="s">
        <v>4124</v>
      </c>
      <c r="C405" t="s">
        <v>74</v>
      </c>
      <c r="D405" t="s">
        <v>74</v>
      </c>
      <c r="E405" t="s">
        <v>74</v>
      </c>
      <c r="F405" t="s">
        <v>4125</v>
      </c>
      <c r="G405" t="s">
        <v>74</v>
      </c>
      <c r="H405" t="s">
        <v>74</v>
      </c>
      <c r="I405" t="s">
        <v>4138</v>
      </c>
      <c r="J405" t="s">
        <v>4127</v>
      </c>
      <c r="K405" t="s">
        <v>74</v>
      </c>
      <c r="L405" t="s">
        <v>74</v>
      </c>
      <c r="M405" t="s">
        <v>78</v>
      </c>
      <c r="N405" t="s">
        <v>2989</v>
      </c>
      <c r="O405" t="s">
        <v>74</v>
      </c>
      <c r="P405" t="s">
        <v>74</v>
      </c>
      <c r="Q405" t="s">
        <v>74</v>
      </c>
      <c r="R405" t="s">
        <v>74</v>
      </c>
      <c r="S405" t="s">
        <v>74</v>
      </c>
      <c r="T405" t="s">
        <v>74</v>
      </c>
      <c r="U405" t="s">
        <v>74</v>
      </c>
      <c r="V405" t="s">
        <v>74</v>
      </c>
      <c r="W405" t="s">
        <v>74</v>
      </c>
      <c r="X405" t="s">
        <v>74</v>
      </c>
      <c r="Y405" t="s">
        <v>74</v>
      </c>
      <c r="Z405" t="s">
        <v>74</v>
      </c>
      <c r="AA405" t="s">
        <v>74</v>
      </c>
      <c r="AB405" t="s">
        <v>4128</v>
      </c>
      <c r="AC405" t="s">
        <v>2791</v>
      </c>
      <c r="AD405" t="s">
        <v>2792</v>
      </c>
      <c r="AE405" t="s">
        <v>74</v>
      </c>
      <c r="AF405" t="s">
        <v>74</v>
      </c>
      <c r="AG405">
        <v>0</v>
      </c>
      <c r="AH405">
        <v>3</v>
      </c>
      <c r="AI405">
        <v>4</v>
      </c>
      <c r="AJ405">
        <v>0</v>
      </c>
      <c r="AK405">
        <v>1</v>
      </c>
      <c r="AL405" t="s">
        <v>2964</v>
      </c>
      <c r="AM405" t="s">
        <v>2747</v>
      </c>
      <c r="AN405" t="s">
        <v>2965</v>
      </c>
      <c r="AO405" t="s">
        <v>4129</v>
      </c>
      <c r="AP405" t="s">
        <v>74</v>
      </c>
      <c r="AQ405" t="s">
        <v>74</v>
      </c>
      <c r="AR405" t="s">
        <v>4131</v>
      </c>
      <c r="AS405" t="s">
        <v>4132</v>
      </c>
      <c r="AT405" t="s">
        <v>4117</v>
      </c>
      <c r="AU405">
        <v>2008</v>
      </c>
      <c r="AV405">
        <v>20</v>
      </c>
      <c r="AW405">
        <v>3</v>
      </c>
      <c r="AX405" t="s">
        <v>74</v>
      </c>
      <c r="AY405" t="s">
        <v>74</v>
      </c>
      <c r="AZ405" t="s">
        <v>74</v>
      </c>
      <c r="BA405" t="s">
        <v>74</v>
      </c>
      <c r="BB405">
        <v>211</v>
      </c>
      <c r="BC405">
        <v>212</v>
      </c>
      <c r="BD405" t="s">
        <v>74</v>
      </c>
      <c r="BE405" t="s">
        <v>4139</v>
      </c>
      <c r="BF405" t="str">
        <f>HYPERLINK("http://dx.doi.org/10.1017/S095410200800120X","http://dx.doi.org/10.1017/S095410200800120X")</f>
        <v>http://dx.doi.org/10.1017/S095410200800120X</v>
      </c>
      <c r="BG405" t="s">
        <v>74</v>
      </c>
      <c r="BH405" t="s">
        <v>74</v>
      </c>
      <c r="BI405">
        <v>2</v>
      </c>
      <c r="BJ405" t="s">
        <v>4134</v>
      </c>
      <c r="BK405" t="s">
        <v>419</v>
      </c>
      <c r="BL405" t="s">
        <v>4135</v>
      </c>
      <c r="BM405" t="s">
        <v>4136</v>
      </c>
      <c r="BN405" t="s">
        <v>74</v>
      </c>
      <c r="BO405" t="s">
        <v>74</v>
      </c>
      <c r="BP405" t="s">
        <v>74</v>
      </c>
      <c r="BQ405" t="s">
        <v>74</v>
      </c>
      <c r="BR405" t="s">
        <v>101</v>
      </c>
      <c r="BS405" t="s">
        <v>4140</v>
      </c>
      <c r="BT405" t="str">
        <f>HYPERLINK("https%3A%2F%2Fwww.webofscience.com%2Fwos%2Fwoscc%2Ffull-record%2FWOS:000257210100002","View Full Record in Web of Science")</f>
        <v>View Full Record in Web of Science</v>
      </c>
    </row>
    <row r="406" spans="1:72" x14ac:dyDescent="0.15">
      <c r="A406" t="s">
        <v>72</v>
      </c>
      <c r="B406" t="s">
        <v>4141</v>
      </c>
      <c r="C406" t="s">
        <v>74</v>
      </c>
      <c r="D406" t="s">
        <v>74</v>
      </c>
      <c r="E406" t="s">
        <v>74</v>
      </c>
      <c r="F406" t="s">
        <v>4142</v>
      </c>
      <c r="G406" t="s">
        <v>74</v>
      </c>
      <c r="H406" t="s">
        <v>74</v>
      </c>
      <c r="I406" t="s">
        <v>4143</v>
      </c>
      <c r="J406" t="s">
        <v>4127</v>
      </c>
      <c r="K406" t="s">
        <v>74</v>
      </c>
      <c r="L406" t="s">
        <v>74</v>
      </c>
      <c r="M406" t="s">
        <v>78</v>
      </c>
      <c r="N406" t="s">
        <v>2737</v>
      </c>
      <c r="O406" t="s">
        <v>74</v>
      </c>
      <c r="P406" t="s">
        <v>74</v>
      </c>
      <c r="Q406" t="s">
        <v>74</v>
      </c>
      <c r="R406" t="s">
        <v>74</v>
      </c>
      <c r="S406" t="s">
        <v>74</v>
      </c>
      <c r="T406" t="s">
        <v>4144</v>
      </c>
      <c r="U406" t="s">
        <v>4145</v>
      </c>
      <c r="V406" t="s">
        <v>4146</v>
      </c>
      <c r="W406" t="s">
        <v>4147</v>
      </c>
      <c r="X406" t="s">
        <v>2786</v>
      </c>
      <c r="Y406" t="s">
        <v>4148</v>
      </c>
      <c r="Z406" t="s">
        <v>4149</v>
      </c>
      <c r="AA406" t="s">
        <v>4150</v>
      </c>
      <c r="AB406" t="s">
        <v>4151</v>
      </c>
      <c r="AC406" t="s">
        <v>4152</v>
      </c>
      <c r="AD406" t="s">
        <v>3031</v>
      </c>
      <c r="AE406" t="s">
        <v>74</v>
      </c>
      <c r="AF406" t="s">
        <v>74</v>
      </c>
      <c r="AG406">
        <v>46</v>
      </c>
      <c r="AH406">
        <v>40</v>
      </c>
      <c r="AI406">
        <v>42</v>
      </c>
      <c r="AJ406">
        <v>0</v>
      </c>
      <c r="AK406">
        <v>17</v>
      </c>
      <c r="AL406" t="s">
        <v>2964</v>
      </c>
      <c r="AM406" t="s">
        <v>2747</v>
      </c>
      <c r="AN406" t="s">
        <v>2965</v>
      </c>
      <c r="AO406" t="s">
        <v>4129</v>
      </c>
      <c r="AP406" t="s">
        <v>4130</v>
      </c>
      <c r="AQ406" t="s">
        <v>74</v>
      </c>
      <c r="AR406" t="s">
        <v>4131</v>
      </c>
      <c r="AS406" t="s">
        <v>4132</v>
      </c>
      <c r="AT406" t="s">
        <v>4117</v>
      </c>
      <c r="AU406">
        <v>2008</v>
      </c>
      <c r="AV406">
        <v>20</v>
      </c>
      <c r="AW406">
        <v>3</v>
      </c>
      <c r="AX406" t="s">
        <v>74</v>
      </c>
      <c r="AY406" t="s">
        <v>74</v>
      </c>
      <c r="AZ406" t="s">
        <v>74</v>
      </c>
      <c r="BA406" t="s">
        <v>74</v>
      </c>
      <c r="BB406">
        <v>213</v>
      </c>
      <c r="BC406">
        <v>226</v>
      </c>
      <c r="BD406" t="s">
        <v>74</v>
      </c>
      <c r="BE406" t="s">
        <v>4153</v>
      </c>
      <c r="BF406" t="str">
        <f>HYPERLINK("http://dx.doi.org/10.1017/S0954102008001168","http://dx.doi.org/10.1017/S0954102008001168")</f>
        <v>http://dx.doi.org/10.1017/S0954102008001168</v>
      </c>
      <c r="BG406" t="s">
        <v>74</v>
      </c>
      <c r="BH406" t="s">
        <v>74</v>
      </c>
      <c r="BI406">
        <v>14</v>
      </c>
      <c r="BJ406" t="s">
        <v>4134</v>
      </c>
      <c r="BK406" t="s">
        <v>419</v>
      </c>
      <c r="BL406" t="s">
        <v>4135</v>
      </c>
      <c r="BM406" t="s">
        <v>4136</v>
      </c>
      <c r="BN406" t="s">
        <v>74</v>
      </c>
      <c r="BO406" t="s">
        <v>74</v>
      </c>
      <c r="BP406" t="s">
        <v>74</v>
      </c>
      <c r="BQ406" t="s">
        <v>74</v>
      </c>
      <c r="BR406" t="s">
        <v>101</v>
      </c>
      <c r="BS406" t="s">
        <v>4154</v>
      </c>
      <c r="BT406" t="str">
        <f>HYPERLINK("https%3A%2F%2Fwww.webofscience.com%2Fwos%2Fwoscc%2Ffull-record%2FWOS:000257210100003","View Full Record in Web of Science")</f>
        <v>View Full Record in Web of Science</v>
      </c>
    </row>
    <row r="407" spans="1:72" x14ac:dyDescent="0.15">
      <c r="A407" t="s">
        <v>72</v>
      </c>
      <c r="B407" t="s">
        <v>4155</v>
      </c>
      <c r="C407" t="s">
        <v>74</v>
      </c>
      <c r="D407" t="s">
        <v>74</v>
      </c>
      <c r="E407" t="s">
        <v>74</v>
      </c>
      <c r="F407" t="s">
        <v>4156</v>
      </c>
      <c r="G407" t="s">
        <v>74</v>
      </c>
      <c r="H407" t="s">
        <v>74</v>
      </c>
      <c r="I407" t="s">
        <v>4157</v>
      </c>
      <c r="J407" t="s">
        <v>4127</v>
      </c>
      <c r="K407" t="s">
        <v>74</v>
      </c>
      <c r="L407" t="s">
        <v>74</v>
      </c>
      <c r="M407" t="s">
        <v>78</v>
      </c>
      <c r="N407" t="s">
        <v>2737</v>
      </c>
      <c r="O407" t="s">
        <v>74</v>
      </c>
      <c r="P407" t="s">
        <v>74</v>
      </c>
      <c r="Q407" t="s">
        <v>74</v>
      </c>
      <c r="R407" t="s">
        <v>74</v>
      </c>
      <c r="S407" t="s">
        <v>74</v>
      </c>
      <c r="T407" t="s">
        <v>74</v>
      </c>
      <c r="U407" t="s">
        <v>4158</v>
      </c>
      <c r="V407" t="s">
        <v>4159</v>
      </c>
      <c r="W407" t="s">
        <v>4160</v>
      </c>
      <c r="X407" t="s">
        <v>4161</v>
      </c>
      <c r="Y407" t="s">
        <v>4162</v>
      </c>
      <c r="Z407" t="s">
        <v>4163</v>
      </c>
      <c r="AA407" t="s">
        <v>74</v>
      </c>
      <c r="AB407" t="s">
        <v>4128</v>
      </c>
      <c r="AC407" t="s">
        <v>2791</v>
      </c>
      <c r="AD407" t="s">
        <v>2792</v>
      </c>
      <c r="AE407" t="s">
        <v>74</v>
      </c>
      <c r="AF407" t="s">
        <v>74</v>
      </c>
      <c r="AG407">
        <v>87</v>
      </c>
      <c r="AH407">
        <v>29</v>
      </c>
      <c r="AI407">
        <v>31</v>
      </c>
      <c r="AJ407">
        <v>0</v>
      </c>
      <c r="AK407">
        <v>12</v>
      </c>
      <c r="AL407" t="s">
        <v>2964</v>
      </c>
      <c r="AM407" t="s">
        <v>2747</v>
      </c>
      <c r="AN407" t="s">
        <v>2965</v>
      </c>
      <c r="AO407" t="s">
        <v>4129</v>
      </c>
      <c r="AP407" t="s">
        <v>4130</v>
      </c>
      <c r="AQ407" t="s">
        <v>74</v>
      </c>
      <c r="AR407" t="s">
        <v>4131</v>
      </c>
      <c r="AS407" t="s">
        <v>4132</v>
      </c>
      <c r="AT407" t="s">
        <v>4117</v>
      </c>
      <c r="AU407">
        <v>2008</v>
      </c>
      <c r="AV407">
        <v>20</v>
      </c>
      <c r="AW407">
        <v>3</v>
      </c>
      <c r="AX407" t="s">
        <v>74</v>
      </c>
      <c r="AY407" t="s">
        <v>74</v>
      </c>
      <c r="AZ407" t="s">
        <v>74</v>
      </c>
      <c r="BA407" t="s">
        <v>74</v>
      </c>
      <c r="BB407">
        <v>227</v>
      </c>
      <c r="BC407">
        <v>244</v>
      </c>
      <c r="BD407" t="s">
        <v>74</v>
      </c>
      <c r="BE407" t="s">
        <v>4164</v>
      </c>
      <c r="BF407" t="str">
        <f>HYPERLINK("http://dx.doi.org/10.1017/S0954102008001181","http://dx.doi.org/10.1017/S0954102008001181")</f>
        <v>http://dx.doi.org/10.1017/S0954102008001181</v>
      </c>
      <c r="BG407" t="s">
        <v>74</v>
      </c>
      <c r="BH407" t="s">
        <v>74</v>
      </c>
      <c r="BI407">
        <v>18</v>
      </c>
      <c r="BJ407" t="s">
        <v>4134</v>
      </c>
      <c r="BK407" t="s">
        <v>419</v>
      </c>
      <c r="BL407" t="s">
        <v>4135</v>
      </c>
      <c r="BM407" t="s">
        <v>4136</v>
      </c>
      <c r="BN407" t="s">
        <v>74</v>
      </c>
      <c r="BO407" t="s">
        <v>74</v>
      </c>
      <c r="BP407" t="s">
        <v>74</v>
      </c>
      <c r="BQ407" t="s">
        <v>74</v>
      </c>
      <c r="BR407" t="s">
        <v>101</v>
      </c>
      <c r="BS407" t="s">
        <v>4165</v>
      </c>
      <c r="BT407" t="str">
        <f>HYPERLINK("https%3A%2F%2Fwww.webofscience.com%2Fwos%2Fwoscc%2Ffull-record%2FWOS:000257210100004","View Full Record in Web of Science")</f>
        <v>View Full Record in Web of Science</v>
      </c>
    </row>
    <row r="408" spans="1:72" x14ac:dyDescent="0.15">
      <c r="A408" t="s">
        <v>72</v>
      </c>
      <c r="B408" t="s">
        <v>4166</v>
      </c>
      <c r="C408" t="s">
        <v>74</v>
      </c>
      <c r="D408" t="s">
        <v>74</v>
      </c>
      <c r="E408" t="s">
        <v>74</v>
      </c>
      <c r="F408" t="s">
        <v>4167</v>
      </c>
      <c r="G408" t="s">
        <v>74</v>
      </c>
      <c r="H408" t="s">
        <v>74</v>
      </c>
      <c r="I408" t="s">
        <v>4168</v>
      </c>
      <c r="J408" t="s">
        <v>4127</v>
      </c>
      <c r="K408" t="s">
        <v>74</v>
      </c>
      <c r="L408" t="s">
        <v>74</v>
      </c>
      <c r="M408" t="s">
        <v>78</v>
      </c>
      <c r="N408" t="s">
        <v>2737</v>
      </c>
      <c r="O408" t="s">
        <v>74</v>
      </c>
      <c r="P408" t="s">
        <v>74</v>
      </c>
      <c r="Q408" t="s">
        <v>74</v>
      </c>
      <c r="R408" t="s">
        <v>74</v>
      </c>
      <c r="S408" t="s">
        <v>74</v>
      </c>
      <c r="T408" t="s">
        <v>4169</v>
      </c>
      <c r="U408" t="s">
        <v>4170</v>
      </c>
      <c r="V408" t="s">
        <v>4171</v>
      </c>
      <c r="W408" t="s">
        <v>4172</v>
      </c>
      <c r="X408" t="s">
        <v>4173</v>
      </c>
      <c r="Y408" t="s">
        <v>4174</v>
      </c>
      <c r="Z408" t="s">
        <v>4175</v>
      </c>
      <c r="AA408" t="s">
        <v>4176</v>
      </c>
      <c r="AB408" t="s">
        <v>4177</v>
      </c>
      <c r="AC408" t="s">
        <v>4178</v>
      </c>
      <c r="AD408" t="s">
        <v>3604</v>
      </c>
      <c r="AE408" t="s">
        <v>74</v>
      </c>
      <c r="AF408" t="s">
        <v>74</v>
      </c>
      <c r="AG408">
        <v>22</v>
      </c>
      <c r="AH408">
        <v>16</v>
      </c>
      <c r="AI408">
        <v>20</v>
      </c>
      <c r="AJ408">
        <v>1</v>
      </c>
      <c r="AK408">
        <v>10</v>
      </c>
      <c r="AL408" t="s">
        <v>2964</v>
      </c>
      <c r="AM408" t="s">
        <v>2747</v>
      </c>
      <c r="AN408" t="s">
        <v>2965</v>
      </c>
      <c r="AO408" t="s">
        <v>4129</v>
      </c>
      <c r="AP408" t="s">
        <v>4130</v>
      </c>
      <c r="AQ408" t="s">
        <v>74</v>
      </c>
      <c r="AR408" t="s">
        <v>4131</v>
      </c>
      <c r="AS408" t="s">
        <v>4132</v>
      </c>
      <c r="AT408" t="s">
        <v>4117</v>
      </c>
      <c r="AU408">
        <v>2008</v>
      </c>
      <c r="AV408">
        <v>20</v>
      </c>
      <c r="AW408">
        <v>3</v>
      </c>
      <c r="AX408" t="s">
        <v>74</v>
      </c>
      <c r="AY408" t="s">
        <v>74</v>
      </c>
      <c r="AZ408" t="s">
        <v>74</v>
      </c>
      <c r="BA408" t="s">
        <v>74</v>
      </c>
      <c r="BB408">
        <v>245</v>
      </c>
      <c r="BC408">
        <v>251</v>
      </c>
      <c r="BD408" t="s">
        <v>74</v>
      </c>
      <c r="BE408" t="s">
        <v>4179</v>
      </c>
      <c r="BF408" t="str">
        <f>HYPERLINK("http://dx.doi.org/10.1017/S0954102008001132","http://dx.doi.org/10.1017/S0954102008001132")</f>
        <v>http://dx.doi.org/10.1017/S0954102008001132</v>
      </c>
      <c r="BG408" t="s">
        <v>74</v>
      </c>
      <c r="BH408" t="s">
        <v>74</v>
      </c>
      <c r="BI408">
        <v>7</v>
      </c>
      <c r="BJ408" t="s">
        <v>4134</v>
      </c>
      <c r="BK408" t="s">
        <v>419</v>
      </c>
      <c r="BL408" t="s">
        <v>4135</v>
      </c>
      <c r="BM408" t="s">
        <v>4136</v>
      </c>
      <c r="BN408" t="s">
        <v>74</v>
      </c>
      <c r="BO408" t="s">
        <v>74</v>
      </c>
      <c r="BP408" t="s">
        <v>74</v>
      </c>
      <c r="BQ408" t="s">
        <v>74</v>
      </c>
      <c r="BR408" t="s">
        <v>101</v>
      </c>
      <c r="BS408" t="s">
        <v>4180</v>
      </c>
      <c r="BT408" t="str">
        <f>HYPERLINK("https%3A%2F%2Fwww.webofscience.com%2Fwos%2Fwoscc%2Ffull-record%2FWOS:000257210100005","View Full Record in Web of Science")</f>
        <v>View Full Record in Web of Science</v>
      </c>
    </row>
    <row r="409" spans="1:72" x14ac:dyDescent="0.15">
      <c r="A409" t="s">
        <v>72</v>
      </c>
      <c r="B409" t="s">
        <v>4181</v>
      </c>
      <c r="C409" t="s">
        <v>74</v>
      </c>
      <c r="D409" t="s">
        <v>74</v>
      </c>
      <c r="E409" t="s">
        <v>74</v>
      </c>
      <c r="F409" t="s">
        <v>4182</v>
      </c>
      <c r="G409" t="s">
        <v>74</v>
      </c>
      <c r="H409" t="s">
        <v>74</v>
      </c>
      <c r="I409" t="s">
        <v>4183</v>
      </c>
      <c r="J409" t="s">
        <v>4127</v>
      </c>
      <c r="K409" t="s">
        <v>74</v>
      </c>
      <c r="L409" t="s">
        <v>74</v>
      </c>
      <c r="M409" t="s">
        <v>78</v>
      </c>
      <c r="N409" t="s">
        <v>2737</v>
      </c>
      <c r="O409" t="s">
        <v>74</v>
      </c>
      <c r="P409" t="s">
        <v>74</v>
      </c>
      <c r="Q409" t="s">
        <v>74</v>
      </c>
      <c r="R409" t="s">
        <v>74</v>
      </c>
      <c r="S409" t="s">
        <v>74</v>
      </c>
      <c r="T409" t="s">
        <v>4184</v>
      </c>
      <c r="U409" t="s">
        <v>4185</v>
      </c>
      <c r="V409" t="s">
        <v>4186</v>
      </c>
      <c r="W409" t="s">
        <v>4187</v>
      </c>
      <c r="X409" t="s">
        <v>4188</v>
      </c>
      <c r="Y409" t="s">
        <v>4189</v>
      </c>
      <c r="Z409" t="s">
        <v>4190</v>
      </c>
      <c r="AA409" t="s">
        <v>4191</v>
      </c>
      <c r="AB409" t="s">
        <v>4192</v>
      </c>
      <c r="AC409" t="s">
        <v>4193</v>
      </c>
      <c r="AD409" t="s">
        <v>3604</v>
      </c>
      <c r="AE409" t="s">
        <v>74</v>
      </c>
      <c r="AF409" t="s">
        <v>74</v>
      </c>
      <c r="AG409">
        <v>39</v>
      </c>
      <c r="AH409">
        <v>70</v>
      </c>
      <c r="AI409">
        <v>80</v>
      </c>
      <c r="AJ409">
        <v>4</v>
      </c>
      <c r="AK409">
        <v>28</v>
      </c>
      <c r="AL409" t="s">
        <v>2964</v>
      </c>
      <c r="AM409" t="s">
        <v>2747</v>
      </c>
      <c r="AN409" t="s">
        <v>2965</v>
      </c>
      <c r="AO409" t="s">
        <v>4129</v>
      </c>
      <c r="AP409" t="s">
        <v>4130</v>
      </c>
      <c r="AQ409" t="s">
        <v>74</v>
      </c>
      <c r="AR409" t="s">
        <v>4131</v>
      </c>
      <c r="AS409" t="s">
        <v>4132</v>
      </c>
      <c r="AT409" t="s">
        <v>4117</v>
      </c>
      <c r="AU409">
        <v>2008</v>
      </c>
      <c r="AV409">
        <v>20</v>
      </c>
      <c r="AW409">
        <v>3</v>
      </c>
      <c r="AX409" t="s">
        <v>74</v>
      </c>
      <c r="AY409" t="s">
        <v>74</v>
      </c>
      <c r="AZ409" t="s">
        <v>74</v>
      </c>
      <c r="BA409" t="s">
        <v>74</v>
      </c>
      <c r="BB409">
        <v>253</v>
      </c>
      <c r="BC409">
        <v>262</v>
      </c>
      <c r="BD409" t="s">
        <v>74</v>
      </c>
      <c r="BE409" t="s">
        <v>4194</v>
      </c>
      <c r="BF409" t="str">
        <f>HYPERLINK("http://dx.doi.org/10.1017/S0954102008001120","http://dx.doi.org/10.1017/S0954102008001120")</f>
        <v>http://dx.doi.org/10.1017/S0954102008001120</v>
      </c>
      <c r="BG409" t="s">
        <v>74</v>
      </c>
      <c r="BH409" t="s">
        <v>74</v>
      </c>
      <c r="BI409">
        <v>10</v>
      </c>
      <c r="BJ409" t="s">
        <v>4134</v>
      </c>
      <c r="BK409" t="s">
        <v>419</v>
      </c>
      <c r="BL409" t="s">
        <v>4135</v>
      </c>
      <c r="BM409" t="s">
        <v>4136</v>
      </c>
      <c r="BN409" t="s">
        <v>74</v>
      </c>
      <c r="BO409" t="s">
        <v>74</v>
      </c>
      <c r="BP409" t="s">
        <v>74</v>
      </c>
      <c r="BQ409" t="s">
        <v>74</v>
      </c>
      <c r="BR409" t="s">
        <v>101</v>
      </c>
      <c r="BS409" t="s">
        <v>4195</v>
      </c>
      <c r="BT409" t="str">
        <f>HYPERLINK("https%3A%2F%2Fwww.webofscience.com%2Fwos%2Fwoscc%2Ffull-record%2FWOS:000257210100006","View Full Record in Web of Science")</f>
        <v>View Full Record in Web of Science</v>
      </c>
    </row>
    <row r="410" spans="1:72" x14ac:dyDescent="0.15">
      <c r="A410" t="s">
        <v>72</v>
      </c>
      <c r="B410" t="s">
        <v>4196</v>
      </c>
      <c r="C410" t="s">
        <v>74</v>
      </c>
      <c r="D410" t="s">
        <v>74</v>
      </c>
      <c r="E410" t="s">
        <v>74</v>
      </c>
      <c r="F410" t="s">
        <v>4197</v>
      </c>
      <c r="G410" t="s">
        <v>74</v>
      </c>
      <c r="H410" t="s">
        <v>74</v>
      </c>
      <c r="I410" t="s">
        <v>4198</v>
      </c>
      <c r="J410" t="s">
        <v>4127</v>
      </c>
      <c r="K410" t="s">
        <v>74</v>
      </c>
      <c r="L410" t="s">
        <v>74</v>
      </c>
      <c r="M410" t="s">
        <v>78</v>
      </c>
      <c r="N410" t="s">
        <v>2737</v>
      </c>
      <c r="O410" t="s">
        <v>74</v>
      </c>
      <c r="P410" t="s">
        <v>74</v>
      </c>
      <c r="Q410" t="s">
        <v>74</v>
      </c>
      <c r="R410" t="s">
        <v>74</v>
      </c>
      <c r="S410" t="s">
        <v>74</v>
      </c>
      <c r="T410" t="s">
        <v>4199</v>
      </c>
      <c r="U410" t="s">
        <v>4200</v>
      </c>
      <c r="V410" t="s">
        <v>4201</v>
      </c>
      <c r="W410" t="s">
        <v>4202</v>
      </c>
      <c r="X410" t="s">
        <v>2786</v>
      </c>
      <c r="Y410" t="s">
        <v>4203</v>
      </c>
      <c r="Z410" t="s">
        <v>4204</v>
      </c>
      <c r="AA410" t="s">
        <v>74</v>
      </c>
      <c r="AB410" t="s">
        <v>74</v>
      </c>
      <c r="AC410" t="s">
        <v>2791</v>
      </c>
      <c r="AD410" t="s">
        <v>2792</v>
      </c>
      <c r="AE410" t="s">
        <v>74</v>
      </c>
      <c r="AF410" t="s">
        <v>74</v>
      </c>
      <c r="AG410">
        <v>36</v>
      </c>
      <c r="AH410">
        <v>24</v>
      </c>
      <c r="AI410">
        <v>24</v>
      </c>
      <c r="AJ410">
        <v>0</v>
      </c>
      <c r="AK410">
        <v>6</v>
      </c>
      <c r="AL410" t="s">
        <v>2964</v>
      </c>
      <c r="AM410" t="s">
        <v>2747</v>
      </c>
      <c r="AN410" t="s">
        <v>2965</v>
      </c>
      <c r="AO410" t="s">
        <v>4129</v>
      </c>
      <c r="AP410" t="s">
        <v>4130</v>
      </c>
      <c r="AQ410" t="s">
        <v>74</v>
      </c>
      <c r="AR410" t="s">
        <v>4131</v>
      </c>
      <c r="AS410" t="s">
        <v>4132</v>
      </c>
      <c r="AT410" t="s">
        <v>4117</v>
      </c>
      <c r="AU410">
        <v>2008</v>
      </c>
      <c r="AV410">
        <v>20</v>
      </c>
      <c r="AW410">
        <v>3</v>
      </c>
      <c r="AX410" t="s">
        <v>74</v>
      </c>
      <c r="AY410" t="s">
        <v>74</v>
      </c>
      <c r="AZ410" t="s">
        <v>74</v>
      </c>
      <c r="BA410" t="s">
        <v>74</v>
      </c>
      <c r="BB410">
        <v>263</v>
      </c>
      <c r="BC410">
        <v>270</v>
      </c>
      <c r="BD410" t="s">
        <v>74</v>
      </c>
      <c r="BE410" t="s">
        <v>4205</v>
      </c>
      <c r="BF410" t="str">
        <f>HYPERLINK("http://dx.doi.org/10.1017/S0954102008001089","http://dx.doi.org/10.1017/S0954102008001089")</f>
        <v>http://dx.doi.org/10.1017/S0954102008001089</v>
      </c>
      <c r="BG410" t="s">
        <v>74</v>
      </c>
      <c r="BH410" t="s">
        <v>74</v>
      </c>
      <c r="BI410">
        <v>8</v>
      </c>
      <c r="BJ410" t="s">
        <v>4134</v>
      </c>
      <c r="BK410" t="s">
        <v>419</v>
      </c>
      <c r="BL410" t="s">
        <v>4135</v>
      </c>
      <c r="BM410" t="s">
        <v>4136</v>
      </c>
      <c r="BN410" t="s">
        <v>74</v>
      </c>
      <c r="BO410" t="s">
        <v>3033</v>
      </c>
      <c r="BP410" t="s">
        <v>74</v>
      </c>
      <c r="BQ410" t="s">
        <v>74</v>
      </c>
      <c r="BR410" t="s">
        <v>101</v>
      </c>
      <c r="BS410" t="s">
        <v>4206</v>
      </c>
      <c r="BT410" t="str">
        <f>HYPERLINK("https%3A%2F%2Fwww.webofscience.com%2Fwos%2Fwoscc%2Ffull-record%2FWOS:000257210100007","View Full Record in Web of Science")</f>
        <v>View Full Record in Web of Science</v>
      </c>
    </row>
    <row r="411" spans="1:72" x14ac:dyDescent="0.15">
      <c r="A411" t="s">
        <v>72</v>
      </c>
      <c r="B411" t="s">
        <v>4207</v>
      </c>
      <c r="C411" t="s">
        <v>74</v>
      </c>
      <c r="D411" t="s">
        <v>74</v>
      </c>
      <c r="E411" t="s">
        <v>74</v>
      </c>
      <c r="F411" t="s">
        <v>4208</v>
      </c>
      <c r="G411" t="s">
        <v>74</v>
      </c>
      <c r="H411" t="s">
        <v>74</v>
      </c>
      <c r="I411" t="s">
        <v>4209</v>
      </c>
      <c r="J411" t="s">
        <v>4127</v>
      </c>
      <c r="K411" t="s">
        <v>74</v>
      </c>
      <c r="L411" t="s">
        <v>74</v>
      </c>
      <c r="M411" t="s">
        <v>78</v>
      </c>
      <c r="N411" t="s">
        <v>2737</v>
      </c>
      <c r="O411" t="s">
        <v>74</v>
      </c>
      <c r="P411" t="s">
        <v>74</v>
      </c>
      <c r="Q411" t="s">
        <v>74</v>
      </c>
      <c r="R411" t="s">
        <v>74</v>
      </c>
      <c r="S411" t="s">
        <v>74</v>
      </c>
      <c r="T411" t="s">
        <v>4210</v>
      </c>
      <c r="U411" t="s">
        <v>4211</v>
      </c>
      <c r="V411" t="s">
        <v>4212</v>
      </c>
      <c r="W411" t="s">
        <v>4213</v>
      </c>
      <c r="X411" t="s">
        <v>2786</v>
      </c>
      <c r="Y411" t="s">
        <v>4203</v>
      </c>
      <c r="Z411" t="s">
        <v>4204</v>
      </c>
      <c r="AA411" t="s">
        <v>4214</v>
      </c>
      <c r="AB411" t="s">
        <v>4215</v>
      </c>
      <c r="AC411" t="s">
        <v>4216</v>
      </c>
      <c r="AD411" t="s">
        <v>2792</v>
      </c>
      <c r="AE411" t="s">
        <v>74</v>
      </c>
      <c r="AF411" t="s">
        <v>74</v>
      </c>
      <c r="AG411">
        <v>43</v>
      </c>
      <c r="AH411">
        <v>21</v>
      </c>
      <c r="AI411">
        <v>24</v>
      </c>
      <c r="AJ411">
        <v>1</v>
      </c>
      <c r="AK411">
        <v>15</v>
      </c>
      <c r="AL411" t="s">
        <v>2964</v>
      </c>
      <c r="AM411" t="s">
        <v>2747</v>
      </c>
      <c r="AN411" t="s">
        <v>2965</v>
      </c>
      <c r="AO411" t="s">
        <v>4129</v>
      </c>
      <c r="AP411" t="s">
        <v>4130</v>
      </c>
      <c r="AQ411" t="s">
        <v>74</v>
      </c>
      <c r="AR411" t="s">
        <v>4131</v>
      </c>
      <c r="AS411" t="s">
        <v>4132</v>
      </c>
      <c r="AT411" t="s">
        <v>4117</v>
      </c>
      <c r="AU411">
        <v>2008</v>
      </c>
      <c r="AV411">
        <v>20</v>
      </c>
      <c r="AW411">
        <v>3</v>
      </c>
      <c r="AX411" t="s">
        <v>74</v>
      </c>
      <c r="AY411" t="s">
        <v>74</v>
      </c>
      <c r="AZ411" t="s">
        <v>74</v>
      </c>
      <c r="BA411" t="s">
        <v>74</v>
      </c>
      <c r="BB411">
        <v>271</v>
      </c>
      <c r="BC411">
        <v>279</v>
      </c>
      <c r="BD411" t="s">
        <v>74</v>
      </c>
      <c r="BE411" t="s">
        <v>4217</v>
      </c>
      <c r="BF411" t="str">
        <f>HYPERLINK("http://dx.doi.org/10.1017/S0954102008001090","http://dx.doi.org/10.1017/S0954102008001090")</f>
        <v>http://dx.doi.org/10.1017/S0954102008001090</v>
      </c>
      <c r="BG411" t="s">
        <v>74</v>
      </c>
      <c r="BH411" t="s">
        <v>74</v>
      </c>
      <c r="BI411">
        <v>9</v>
      </c>
      <c r="BJ411" t="s">
        <v>4134</v>
      </c>
      <c r="BK411" t="s">
        <v>419</v>
      </c>
      <c r="BL411" t="s">
        <v>4135</v>
      </c>
      <c r="BM411" t="s">
        <v>4136</v>
      </c>
      <c r="BN411" t="s">
        <v>74</v>
      </c>
      <c r="BO411" t="s">
        <v>3110</v>
      </c>
      <c r="BP411" t="s">
        <v>74</v>
      </c>
      <c r="BQ411" t="s">
        <v>74</v>
      </c>
      <c r="BR411" t="s">
        <v>101</v>
      </c>
      <c r="BS411" t="s">
        <v>4218</v>
      </c>
      <c r="BT411" t="str">
        <f>HYPERLINK("https%3A%2F%2Fwww.webofscience.com%2Fwos%2Fwoscc%2Ffull-record%2FWOS:000257210100008","View Full Record in Web of Science")</f>
        <v>View Full Record in Web of Science</v>
      </c>
    </row>
    <row r="412" spans="1:72" x14ac:dyDescent="0.15">
      <c r="A412" t="s">
        <v>72</v>
      </c>
      <c r="B412" t="s">
        <v>4219</v>
      </c>
      <c r="C412" t="s">
        <v>74</v>
      </c>
      <c r="D412" t="s">
        <v>74</v>
      </c>
      <c r="E412" t="s">
        <v>74</v>
      </c>
      <c r="F412" t="s">
        <v>4220</v>
      </c>
      <c r="G412" t="s">
        <v>74</v>
      </c>
      <c r="H412" t="s">
        <v>74</v>
      </c>
      <c r="I412" t="s">
        <v>4221</v>
      </c>
      <c r="J412" t="s">
        <v>4127</v>
      </c>
      <c r="K412" t="s">
        <v>74</v>
      </c>
      <c r="L412" t="s">
        <v>74</v>
      </c>
      <c r="M412" t="s">
        <v>78</v>
      </c>
      <c r="N412" t="s">
        <v>2737</v>
      </c>
      <c r="O412" t="s">
        <v>74</v>
      </c>
      <c r="P412" t="s">
        <v>74</v>
      </c>
      <c r="Q412" t="s">
        <v>74</v>
      </c>
      <c r="R412" t="s">
        <v>74</v>
      </c>
      <c r="S412" t="s">
        <v>74</v>
      </c>
      <c r="T412" t="s">
        <v>4222</v>
      </c>
      <c r="U412" t="s">
        <v>4223</v>
      </c>
      <c r="V412" t="s">
        <v>4224</v>
      </c>
      <c r="W412" t="s">
        <v>4225</v>
      </c>
      <c r="X412" t="s">
        <v>4226</v>
      </c>
      <c r="Y412" t="s">
        <v>4227</v>
      </c>
      <c r="Z412" t="s">
        <v>4228</v>
      </c>
      <c r="AA412" t="s">
        <v>4229</v>
      </c>
      <c r="AB412" t="s">
        <v>4230</v>
      </c>
      <c r="AC412" t="s">
        <v>4152</v>
      </c>
      <c r="AD412" t="s">
        <v>3031</v>
      </c>
      <c r="AE412" t="s">
        <v>74</v>
      </c>
      <c r="AF412" t="s">
        <v>74</v>
      </c>
      <c r="AG412">
        <v>61</v>
      </c>
      <c r="AH412">
        <v>33</v>
      </c>
      <c r="AI412">
        <v>34</v>
      </c>
      <c r="AJ412">
        <v>0</v>
      </c>
      <c r="AK412">
        <v>13</v>
      </c>
      <c r="AL412" t="s">
        <v>2964</v>
      </c>
      <c r="AM412" t="s">
        <v>2747</v>
      </c>
      <c r="AN412" t="s">
        <v>2965</v>
      </c>
      <c r="AO412" t="s">
        <v>4129</v>
      </c>
      <c r="AP412" t="s">
        <v>4130</v>
      </c>
      <c r="AQ412" t="s">
        <v>74</v>
      </c>
      <c r="AR412" t="s">
        <v>4131</v>
      </c>
      <c r="AS412" t="s">
        <v>4132</v>
      </c>
      <c r="AT412" t="s">
        <v>4117</v>
      </c>
      <c r="AU412">
        <v>2008</v>
      </c>
      <c r="AV412">
        <v>20</v>
      </c>
      <c r="AW412">
        <v>3</v>
      </c>
      <c r="AX412" t="s">
        <v>74</v>
      </c>
      <c r="AY412" t="s">
        <v>74</v>
      </c>
      <c r="AZ412" t="s">
        <v>74</v>
      </c>
      <c r="BA412" t="s">
        <v>74</v>
      </c>
      <c r="BB412">
        <v>281</v>
      </c>
      <c r="BC412">
        <v>290</v>
      </c>
      <c r="BD412" t="s">
        <v>74</v>
      </c>
      <c r="BE412" t="s">
        <v>4231</v>
      </c>
      <c r="BF412" t="str">
        <f>HYPERLINK("http://dx.doi.org/10.1017/S0954102008001107","http://dx.doi.org/10.1017/S0954102008001107")</f>
        <v>http://dx.doi.org/10.1017/S0954102008001107</v>
      </c>
      <c r="BG412" t="s">
        <v>74</v>
      </c>
      <c r="BH412" t="s">
        <v>74</v>
      </c>
      <c r="BI412">
        <v>10</v>
      </c>
      <c r="BJ412" t="s">
        <v>4134</v>
      </c>
      <c r="BK412" t="s">
        <v>419</v>
      </c>
      <c r="BL412" t="s">
        <v>4135</v>
      </c>
      <c r="BM412" t="s">
        <v>4136</v>
      </c>
      <c r="BN412" t="s">
        <v>74</v>
      </c>
      <c r="BO412" t="s">
        <v>74</v>
      </c>
      <c r="BP412" t="s">
        <v>74</v>
      </c>
      <c r="BQ412" t="s">
        <v>74</v>
      </c>
      <c r="BR412" t="s">
        <v>101</v>
      </c>
      <c r="BS412" t="s">
        <v>4232</v>
      </c>
      <c r="BT412" t="str">
        <f>HYPERLINK("https%3A%2F%2Fwww.webofscience.com%2Fwos%2Fwoscc%2Ffull-record%2FWOS:000257210100009","View Full Record in Web of Science")</f>
        <v>View Full Record in Web of Science</v>
      </c>
    </row>
    <row r="413" spans="1:72" x14ac:dyDescent="0.15">
      <c r="A413" t="s">
        <v>72</v>
      </c>
      <c r="B413" t="s">
        <v>4233</v>
      </c>
      <c r="C413" t="s">
        <v>74</v>
      </c>
      <c r="D413" t="s">
        <v>74</v>
      </c>
      <c r="E413" t="s">
        <v>74</v>
      </c>
      <c r="F413" t="s">
        <v>4234</v>
      </c>
      <c r="G413" t="s">
        <v>74</v>
      </c>
      <c r="H413" t="s">
        <v>74</v>
      </c>
      <c r="I413" t="s">
        <v>4235</v>
      </c>
      <c r="J413" t="s">
        <v>4127</v>
      </c>
      <c r="K413" t="s">
        <v>74</v>
      </c>
      <c r="L413" t="s">
        <v>74</v>
      </c>
      <c r="M413" t="s">
        <v>78</v>
      </c>
      <c r="N413" t="s">
        <v>2737</v>
      </c>
      <c r="O413" t="s">
        <v>74</v>
      </c>
      <c r="P413" t="s">
        <v>74</v>
      </c>
      <c r="Q413" t="s">
        <v>74</v>
      </c>
      <c r="R413" t="s">
        <v>74</v>
      </c>
      <c r="S413" t="s">
        <v>74</v>
      </c>
      <c r="T413" t="s">
        <v>4236</v>
      </c>
      <c r="U413" t="s">
        <v>4237</v>
      </c>
      <c r="V413" t="s">
        <v>4238</v>
      </c>
      <c r="W413" t="s">
        <v>4202</v>
      </c>
      <c r="X413" t="s">
        <v>2786</v>
      </c>
      <c r="Y413" t="s">
        <v>4239</v>
      </c>
      <c r="Z413" t="s">
        <v>4240</v>
      </c>
      <c r="AA413" t="s">
        <v>74</v>
      </c>
      <c r="AB413" t="s">
        <v>4241</v>
      </c>
      <c r="AC413" t="s">
        <v>4242</v>
      </c>
      <c r="AD413" t="s">
        <v>3031</v>
      </c>
      <c r="AE413" t="s">
        <v>74</v>
      </c>
      <c r="AF413" t="s">
        <v>74</v>
      </c>
      <c r="AG413">
        <v>45</v>
      </c>
      <c r="AH413">
        <v>5</v>
      </c>
      <c r="AI413">
        <v>5</v>
      </c>
      <c r="AJ413">
        <v>0</v>
      </c>
      <c r="AK413">
        <v>7</v>
      </c>
      <c r="AL413" t="s">
        <v>2964</v>
      </c>
      <c r="AM413" t="s">
        <v>2747</v>
      </c>
      <c r="AN413" t="s">
        <v>2965</v>
      </c>
      <c r="AO413" t="s">
        <v>4129</v>
      </c>
      <c r="AP413" t="s">
        <v>4130</v>
      </c>
      <c r="AQ413" t="s">
        <v>74</v>
      </c>
      <c r="AR413" t="s">
        <v>4131</v>
      </c>
      <c r="AS413" t="s">
        <v>4132</v>
      </c>
      <c r="AT413" t="s">
        <v>4117</v>
      </c>
      <c r="AU413">
        <v>2008</v>
      </c>
      <c r="AV413">
        <v>20</v>
      </c>
      <c r="AW413">
        <v>3</v>
      </c>
      <c r="AX413" t="s">
        <v>74</v>
      </c>
      <c r="AY413" t="s">
        <v>74</v>
      </c>
      <c r="AZ413" t="s">
        <v>74</v>
      </c>
      <c r="BA413" t="s">
        <v>74</v>
      </c>
      <c r="BB413">
        <v>291</v>
      </c>
      <c r="BC413">
        <v>300</v>
      </c>
      <c r="BD413" t="s">
        <v>74</v>
      </c>
      <c r="BE413" t="s">
        <v>4243</v>
      </c>
      <c r="BF413" t="str">
        <f>HYPERLINK("http://dx.doi.org/10.1017/S095410200800117X","http://dx.doi.org/10.1017/S095410200800117X")</f>
        <v>http://dx.doi.org/10.1017/S095410200800117X</v>
      </c>
      <c r="BG413" t="s">
        <v>74</v>
      </c>
      <c r="BH413" t="s">
        <v>74</v>
      </c>
      <c r="BI413">
        <v>10</v>
      </c>
      <c r="BJ413" t="s">
        <v>4134</v>
      </c>
      <c r="BK413" t="s">
        <v>419</v>
      </c>
      <c r="BL413" t="s">
        <v>4135</v>
      </c>
      <c r="BM413" t="s">
        <v>4136</v>
      </c>
      <c r="BN413" t="s">
        <v>74</v>
      </c>
      <c r="BO413" t="s">
        <v>74</v>
      </c>
      <c r="BP413" t="s">
        <v>74</v>
      </c>
      <c r="BQ413" t="s">
        <v>74</v>
      </c>
      <c r="BR413" t="s">
        <v>101</v>
      </c>
      <c r="BS413" t="s">
        <v>4244</v>
      </c>
      <c r="BT413" t="str">
        <f>HYPERLINK("https%3A%2F%2Fwww.webofscience.com%2Fwos%2Fwoscc%2Ffull-record%2FWOS:000257210100010","View Full Record in Web of Science")</f>
        <v>View Full Record in Web of Science</v>
      </c>
    </row>
    <row r="414" spans="1:72" x14ac:dyDescent="0.15">
      <c r="A414" t="s">
        <v>72</v>
      </c>
      <c r="B414" t="s">
        <v>4245</v>
      </c>
      <c r="C414" t="s">
        <v>74</v>
      </c>
      <c r="D414" t="s">
        <v>74</v>
      </c>
      <c r="E414" t="s">
        <v>74</v>
      </c>
      <c r="F414" t="s">
        <v>4246</v>
      </c>
      <c r="G414" t="s">
        <v>74</v>
      </c>
      <c r="H414" t="s">
        <v>74</v>
      </c>
      <c r="I414" t="s">
        <v>4247</v>
      </c>
      <c r="J414" t="s">
        <v>4127</v>
      </c>
      <c r="K414" t="s">
        <v>74</v>
      </c>
      <c r="L414" t="s">
        <v>74</v>
      </c>
      <c r="M414" t="s">
        <v>78</v>
      </c>
      <c r="N414" t="s">
        <v>2737</v>
      </c>
      <c r="O414" t="s">
        <v>74</v>
      </c>
      <c r="P414" t="s">
        <v>74</v>
      </c>
      <c r="Q414" t="s">
        <v>74</v>
      </c>
      <c r="R414" t="s">
        <v>74</v>
      </c>
      <c r="S414" t="s">
        <v>74</v>
      </c>
      <c r="T414" t="s">
        <v>4248</v>
      </c>
      <c r="U414" t="s">
        <v>4249</v>
      </c>
      <c r="V414" t="s">
        <v>4250</v>
      </c>
      <c r="W414" t="s">
        <v>4251</v>
      </c>
      <c r="X414" t="s">
        <v>2786</v>
      </c>
      <c r="Y414" t="s">
        <v>4252</v>
      </c>
      <c r="Z414" t="s">
        <v>4253</v>
      </c>
      <c r="AA414" t="s">
        <v>74</v>
      </c>
      <c r="AB414" t="s">
        <v>74</v>
      </c>
      <c r="AC414" t="s">
        <v>4254</v>
      </c>
      <c r="AD414" t="s">
        <v>2792</v>
      </c>
      <c r="AE414" t="s">
        <v>74</v>
      </c>
      <c r="AF414" t="s">
        <v>74</v>
      </c>
      <c r="AG414">
        <v>19</v>
      </c>
      <c r="AH414">
        <v>5</v>
      </c>
      <c r="AI414">
        <v>6</v>
      </c>
      <c r="AJ414">
        <v>1</v>
      </c>
      <c r="AK414">
        <v>11</v>
      </c>
      <c r="AL414" t="s">
        <v>2964</v>
      </c>
      <c r="AM414" t="s">
        <v>2747</v>
      </c>
      <c r="AN414" t="s">
        <v>2965</v>
      </c>
      <c r="AO414" t="s">
        <v>4129</v>
      </c>
      <c r="AP414" t="s">
        <v>4130</v>
      </c>
      <c r="AQ414" t="s">
        <v>74</v>
      </c>
      <c r="AR414" t="s">
        <v>4131</v>
      </c>
      <c r="AS414" t="s">
        <v>4132</v>
      </c>
      <c r="AT414" t="s">
        <v>4117</v>
      </c>
      <c r="AU414">
        <v>2008</v>
      </c>
      <c r="AV414">
        <v>20</v>
      </c>
      <c r="AW414">
        <v>3</v>
      </c>
      <c r="AX414" t="s">
        <v>74</v>
      </c>
      <c r="AY414" t="s">
        <v>74</v>
      </c>
      <c r="AZ414" t="s">
        <v>74</v>
      </c>
      <c r="BA414" t="s">
        <v>74</v>
      </c>
      <c r="BB414">
        <v>301</v>
      </c>
      <c r="BC414">
        <v>306</v>
      </c>
      <c r="BD414" t="s">
        <v>74</v>
      </c>
      <c r="BE414" t="s">
        <v>4255</v>
      </c>
      <c r="BF414" t="str">
        <f>HYPERLINK("http://dx.doi.org/10.1017/S0954102008001156","http://dx.doi.org/10.1017/S0954102008001156")</f>
        <v>http://dx.doi.org/10.1017/S0954102008001156</v>
      </c>
      <c r="BG414" t="s">
        <v>74</v>
      </c>
      <c r="BH414" t="s">
        <v>74</v>
      </c>
      <c r="BI414">
        <v>6</v>
      </c>
      <c r="BJ414" t="s">
        <v>4134</v>
      </c>
      <c r="BK414" t="s">
        <v>419</v>
      </c>
      <c r="BL414" t="s">
        <v>4135</v>
      </c>
      <c r="BM414" t="s">
        <v>4136</v>
      </c>
      <c r="BN414" t="s">
        <v>74</v>
      </c>
      <c r="BO414" t="s">
        <v>74</v>
      </c>
      <c r="BP414" t="s">
        <v>74</v>
      </c>
      <c r="BQ414" t="s">
        <v>74</v>
      </c>
      <c r="BR414" t="s">
        <v>101</v>
      </c>
      <c r="BS414" t="s">
        <v>4256</v>
      </c>
      <c r="BT414" t="str">
        <f>HYPERLINK("https%3A%2F%2Fwww.webofscience.com%2Fwos%2Fwoscc%2Ffull-record%2FWOS:000257210100011","View Full Record in Web of Science")</f>
        <v>View Full Record in Web of Science</v>
      </c>
    </row>
    <row r="415" spans="1:72" x14ac:dyDescent="0.15">
      <c r="A415" t="s">
        <v>72</v>
      </c>
      <c r="B415" t="s">
        <v>4257</v>
      </c>
      <c r="C415" t="s">
        <v>74</v>
      </c>
      <c r="D415" t="s">
        <v>74</v>
      </c>
      <c r="E415" t="s">
        <v>74</v>
      </c>
      <c r="F415" t="s">
        <v>4258</v>
      </c>
      <c r="G415" t="s">
        <v>74</v>
      </c>
      <c r="H415" t="s">
        <v>74</v>
      </c>
      <c r="I415" t="s">
        <v>4259</v>
      </c>
      <c r="J415" t="s">
        <v>4260</v>
      </c>
      <c r="K415" t="s">
        <v>74</v>
      </c>
      <c r="L415" t="s">
        <v>74</v>
      </c>
      <c r="M415" t="s">
        <v>78</v>
      </c>
      <c r="N415" t="s">
        <v>2737</v>
      </c>
      <c r="O415" t="s">
        <v>74</v>
      </c>
      <c r="P415" t="s">
        <v>74</v>
      </c>
      <c r="Q415" t="s">
        <v>74</v>
      </c>
      <c r="R415" t="s">
        <v>74</v>
      </c>
      <c r="S415" t="s">
        <v>74</v>
      </c>
      <c r="T415" t="s">
        <v>74</v>
      </c>
      <c r="U415" t="s">
        <v>4261</v>
      </c>
      <c r="V415" t="s">
        <v>4262</v>
      </c>
      <c r="W415" t="s">
        <v>4263</v>
      </c>
      <c r="X415" t="s">
        <v>4264</v>
      </c>
      <c r="Y415" t="s">
        <v>4265</v>
      </c>
      <c r="Z415" t="s">
        <v>4266</v>
      </c>
      <c r="AA415" t="s">
        <v>74</v>
      </c>
      <c r="AB415" t="s">
        <v>74</v>
      </c>
      <c r="AC415" t="s">
        <v>74</v>
      </c>
      <c r="AD415" t="s">
        <v>74</v>
      </c>
      <c r="AE415" t="s">
        <v>74</v>
      </c>
      <c r="AF415" t="s">
        <v>74</v>
      </c>
      <c r="AG415">
        <v>58</v>
      </c>
      <c r="AH415">
        <v>87</v>
      </c>
      <c r="AI415">
        <v>96</v>
      </c>
      <c r="AJ415">
        <v>2</v>
      </c>
      <c r="AK415">
        <v>27</v>
      </c>
      <c r="AL415" t="s">
        <v>3007</v>
      </c>
      <c r="AM415" t="s">
        <v>3008</v>
      </c>
      <c r="AN415" t="s">
        <v>3009</v>
      </c>
      <c r="AO415" t="s">
        <v>4267</v>
      </c>
      <c r="AP415" t="s">
        <v>74</v>
      </c>
      <c r="AQ415" t="s">
        <v>74</v>
      </c>
      <c r="AR415" t="s">
        <v>4268</v>
      </c>
      <c r="AS415" t="s">
        <v>4269</v>
      </c>
      <c r="AT415" t="s">
        <v>4117</v>
      </c>
      <c r="AU415">
        <v>2008</v>
      </c>
      <c r="AV415">
        <v>23</v>
      </c>
      <c r="AW415">
        <v>6</v>
      </c>
      <c r="AX415" t="s">
        <v>74</v>
      </c>
      <c r="AY415" t="s">
        <v>74</v>
      </c>
      <c r="AZ415" t="s">
        <v>74</v>
      </c>
      <c r="BA415" t="s">
        <v>74</v>
      </c>
      <c r="BB415">
        <v>1634</v>
      </c>
      <c r="BC415">
        <v>1659</v>
      </c>
      <c r="BD415" t="s">
        <v>74</v>
      </c>
      <c r="BE415" t="s">
        <v>4270</v>
      </c>
      <c r="BF415" t="str">
        <f>HYPERLINK("http://dx.doi.org/10.1016/j.apgeochem.2007.12.035","http://dx.doi.org/10.1016/j.apgeochem.2007.12.035")</f>
        <v>http://dx.doi.org/10.1016/j.apgeochem.2007.12.035</v>
      </c>
      <c r="BG415" t="s">
        <v>74</v>
      </c>
      <c r="BH415" t="s">
        <v>74</v>
      </c>
      <c r="BI415">
        <v>26</v>
      </c>
      <c r="BJ415" t="s">
        <v>98</v>
      </c>
      <c r="BK415" t="s">
        <v>419</v>
      </c>
      <c r="BL415" t="s">
        <v>98</v>
      </c>
      <c r="BM415" t="s">
        <v>4271</v>
      </c>
      <c r="BN415" t="s">
        <v>74</v>
      </c>
      <c r="BO415" t="s">
        <v>74</v>
      </c>
      <c r="BP415" t="s">
        <v>74</v>
      </c>
      <c r="BQ415" t="s">
        <v>74</v>
      </c>
      <c r="BR415" t="s">
        <v>101</v>
      </c>
      <c r="BS415" t="s">
        <v>4272</v>
      </c>
      <c r="BT415" t="str">
        <f>HYPERLINK("https%3A%2F%2Fwww.webofscience.com%2Fwos%2Fwoscc%2Ffull-record%2FWOS:000257134000016","View Full Record in Web of Science")</f>
        <v>View Full Record in Web of Science</v>
      </c>
    </row>
    <row r="416" spans="1:72" x14ac:dyDescent="0.15">
      <c r="A416" t="s">
        <v>72</v>
      </c>
      <c r="B416" t="s">
        <v>4273</v>
      </c>
      <c r="C416" t="s">
        <v>74</v>
      </c>
      <c r="D416" t="s">
        <v>74</v>
      </c>
      <c r="E416" t="s">
        <v>74</v>
      </c>
      <c r="F416" t="s">
        <v>4274</v>
      </c>
      <c r="G416" t="s">
        <v>74</v>
      </c>
      <c r="H416" t="s">
        <v>74</v>
      </c>
      <c r="I416" t="s">
        <v>4275</v>
      </c>
      <c r="J416" t="s">
        <v>4276</v>
      </c>
      <c r="K416" t="s">
        <v>74</v>
      </c>
      <c r="L416" t="s">
        <v>74</v>
      </c>
      <c r="M416" t="s">
        <v>78</v>
      </c>
      <c r="N416" t="s">
        <v>2737</v>
      </c>
      <c r="O416" t="s">
        <v>74</v>
      </c>
      <c r="P416" t="s">
        <v>74</v>
      </c>
      <c r="Q416" t="s">
        <v>74</v>
      </c>
      <c r="R416" t="s">
        <v>74</v>
      </c>
      <c r="S416" t="s">
        <v>74</v>
      </c>
      <c r="T416" t="s">
        <v>74</v>
      </c>
      <c r="U416" t="s">
        <v>74</v>
      </c>
      <c r="V416" t="s">
        <v>4277</v>
      </c>
      <c r="W416" t="s">
        <v>4278</v>
      </c>
      <c r="X416" t="s">
        <v>4279</v>
      </c>
      <c r="Y416" t="s">
        <v>4280</v>
      </c>
      <c r="Z416" t="s">
        <v>74</v>
      </c>
      <c r="AA416" t="s">
        <v>74</v>
      </c>
      <c r="AB416" t="s">
        <v>74</v>
      </c>
      <c r="AC416" t="s">
        <v>74</v>
      </c>
      <c r="AD416" t="s">
        <v>74</v>
      </c>
      <c r="AE416" t="s">
        <v>74</v>
      </c>
      <c r="AF416" t="s">
        <v>74</v>
      </c>
      <c r="AG416">
        <v>0</v>
      </c>
      <c r="AH416">
        <v>0</v>
      </c>
      <c r="AI416">
        <v>0</v>
      </c>
      <c r="AJ416">
        <v>0</v>
      </c>
      <c r="AK416">
        <v>0</v>
      </c>
      <c r="AL416" t="s">
        <v>4281</v>
      </c>
      <c r="AM416" t="s">
        <v>4282</v>
      </c>
      <c r="AN416" t="s">
        <v>4283</v>
      </c>
      <c r="AO416" t="s">
        <v>4284</v>
      </c>
      <c r="AP416" t="s">
        <v>4285</v>
      </c>
      <c r="AQ416" t="s">
        <v>74</v>
      </c>
      <c r="AR416" t="s">
        <v>4286</v>
      </c>
      <c r="AS416" t="s">
        <v>4287</v>
      </c>
      <c r="AT416" t="s">
        <v>4117</v>
      </c>
      <c r="AU416">
        <v>2008</v>
      </c>
      <c r="AV416">
        <v>2</v>
      </c>
      <c r="AW416">
        <v>2</v>
      </c>
      <c r="AX416" t="s">
        <v>74</v>
      </c>
      <c r="AY416" t="s">
        <v>74</v>
      </c>
      <c r="AZ416" t="s">
        <v>74</v>
      </c>
      <c r="BA416" t="s">
        <v>74</v>
      </c>
      <c r="BB416" t="s">
        <v>74</v>
      </c>
      <c r="BC416" t="s">
        <v>74</v>
      </c>
      <c r="BD416">
        <v>5</v>
      </c>
      <c r="BE416" t="s">
        <v>74</v>
      </c>
      <c r="BF416" t="s">
        <v>74</v>
      </c>
      <c r="BG416" t="s">
        <v>74</v>
      </c>
      <c r="BH416" t="s">
        <v>74</v>
      </c>
      <c r="BI416">
        <v>3</v>
      </c>
      <c r="BJ416" t="s">
        <v>4288</v>
      </c>
      <c r="BK416" t="s">
        <v>3156</v>
      </c>
      <c r="BL416" t="s">
        <v>4289</v>
      </c>
      <c r="BM416" t="s">
        <v>4290</v>
      </c>
      <c r="BN416" t="s">
        <v>74</v>
      </c>
      <c r="BO416" t="s">
        <v>74</v>
      </c>
      <c r="BP416" t="s">
        <v>74</v>
      </c>
      <c r="BQ416" t="s">
        <v>74</v>
      </c>
      <c r="BR416" t="s">
        <v>101</v>
      </c>
      <c r="BS416" t="s">
        <v>4291</v>
      </c>
      <c r="BT416" t="str">
        <f>HYPERLINK("https%3A%2F%2Fwww.webofscience.com%2Fwos%2Fwoscc%2Ffull-record%2FWOS:000214212300005","View Full Record in Web of Science")</f>
        <v>View Full Record in Web of Science</v>
      </c>
    </row>
    <row r="417" spans="1:72" x14ac:dyDescent="0.15">
      <c r="A417" t="s">
        <v>72</v>
      </c>
      <c r="B417" t="s">
        <v>4292</v>
      </c>
      <c r="C417" t="s">
        <v>74</v>
      </c>
      <c r="D417" t="s">
        <v>74</v>
      </c>
      <c r="E417" t="s">
        <v>74</v>
      </c>
      <c r="F417" t="s">
        <v>4293</v>
      </c>
      <c r="G417" t="s">
        <v>74</v>
      </c>
      <c r="H417" t="s">
        <v>74</v>
      </c>
      <c r="I417" t="s">
        <v>4294</v>
      </c>
      <c r="J417" t="s">
        <v>4295</v>
      </c>
      <c r="K417" t="s">
        <v>74</v>
      </c>
      <c r="L417" t="s">
        <v>74</v>
      </c>
      <c r="M417" t="s">
        <v>78</v>
      </c>
      <c r="N417" t="s">
        <v>4296</v>
      </c>
      <c r="O417" t="s">
        <v>74</v>
      </c>
      <c r="P417" t="s">
        <v>74</v>
      </c>
      <c r="Q417" t="s">
        <v>74</v>
      </c>
      <c r="R417" t="s">
        <v>74</v>
      </c>
      <c r="S417" t="s">
        <v>74</v>
      </c>
      <c r="T417" t="s">
        <v>74</v>
      </c>
      <c r="U417" t="s">
        <v>74</v>
      </c>
      <c r="V417" t="s">
        <v>74</v>
      </c>
      <c r="W417" t="s">
        <v>4297</v>
      </c>
      <c r="X417" t="s">
        <v>4298</v>
      </c>
      <c r="Y417" t="s">
        <v>4299</v>
      </c>
      <c r="Z417" t="s">
        <v>74</v>
      </c>
      <c r="AA417" t="s">
        <v>4300</v>
      </c>
      <c r="AB417" t="s">
        <v>4301</v>
      </c>
      <c r="AC417" t="s">
        <v>74</v>
      </c>
      <c r="AD417" t="s">
        <v>74</v>
      </c>
      <c r="AE417" t="s">
        <v>74</v>
      </c>
      <c r="AF417" t="s">
        <v>74</v>
      </c>
      <c r="AG417">
        <v>1</v>
      </c>
      <c r="AH417">
        <v>0</v>
      </c>
      <c r="AI417">
        <v>0</v>
      </c>
      <c r="AJ417">
        <v>0</v>
      </c>
      <c r="AK417">
        <v>1</v>
      </c>
      <c r="AL417" t="s">
        <v>149</v>
      </c>
      <c r="AM417" t="s">
        <v>150</v>
      </c>
      <c r="AN417" t="s">
        <v>151</v>
      </c>
      <c r="AO417" t="s">
        <v>4302</v>
      </c>
      <c r="AP417" t="s">
        <v>74</v>
      </c>
      <c r="AQ417" t="s">
        <v>74</v>
      </c>
      <c r="AR417" t="s">
        <v>4303</v>
      </c>
      <c r="AS417" t="s">
        <v>4304</v>
      </c>
      <c r="AT417" t="s">
        <v>4117</v>
      </c>
      <c r="AU417">
        <v>2008</v>
      </c>
      <c r="AV417">
        <v>67</v>
      </c>
      <c r="AW417">
        <v>2</v>
      </c>
      <c r="AX417" t="s">
        <v>74</v>
      </c>
      <c r="AY417" t="s">
        <v>74</v>
      </c>
      <c r="AZ417" t="s">
        <v>74</v>
      </c>
      <c r="BA417" t="s">
        <v>74</v>
      </c>
      <c r="BB417">
        <v>241</v>
      </c>
      <c r="BC417">
        <v>242</v>
      </c>
      <c r="BD417" t="s">
        <v>74</v>
      </c>
      <c r="BE417" t="s">
        <v>4305</v>
      </c>
      <c r="BF417" t="str">
        <f>HYPERLINK("http://dx.doi.org/10.1111/j.1467-8500.2008.00584_5.x","http://dx.doi.org/10.1111/j.1467-8500.2008.00584_5.x")</f>
        <v>http://dx.doi.org/10.1111/j.1467-8500.2008.00584_5.x</v>
      </c>
      <c r="BG417" t="s">
        <v>74</v>
      </c>
      <c r="BH417" t="s">
        <v>74</v>
      </c>
      <c r="BI417">
        <v>2</v>
      </c>
      <c r="BJ417" t="s">
        <v>4306</v>
      </c>
      <c r="BK417" t="s">
        <v>4307</v>
      </c>
      <c r="BL417" t="s">
        <v>4306</v>
      </c>
      <c r="BM417" t="s">
        <v>4308</v>
      </c>
      <c r="BN417" t="s">
        <v>74</v>
      </c>
      <c r="BO417" t="s">
        <v>74</v>
      </c>
      <c r="BP417" t="s">
        <v>74</v>
      </c>
      <c r="BQ417" t="s">
        <v>74</v>
      </c>
      <c r="BR417" t="s">
        <v>101</v>
      </c>
      <c r="BS417" t="s">
        <v>4309</v>
      </c>
      <c r="BT417" t="str">
        <f>HYPERLINK("https%3A%2F%2Fwww.webofscience.com%2Fwos%2Fwoscc%2Ffull-record%2FWOS:000256351800014","View Full Record in Web of Science")</f>
        <v>View Full Record in Web of Science</v>
      </c>
    </row>
    <row r="418" spans="1:72" x14ac:dyDescent="0.15">
      <c r="A418" t="s">
        <v>72</v>
      </c>
      <c r="B418" t="s">
        <v>4310</v>
      </c>
      <c r="C418" t="s">
        <v>74</v>
      </c>
      <c r="D418" t="s">
        <v>74</v>
      </c>
      <c r="E418" t="s">
        <v>74</v>
      </c>
      <c r="F418" t="s">
        <v>4311</v>
      </c>
      <c r="G418" t="s">
        <v>74</v>
      </c>
      <c r="H418" t="s">
        <v>74</v>
      </c>
      <c r="I418" t="s">
        <v>4312</v>
      </c>
      <c r="J418" t="s">
        <v>4313</v>
      </c>
      <c r="K418" t="s">
        <v>74</v>
      </c>
      <c r="L418" t="s">
        <v>74</v>
      </c>
      <c r="M418" t="s">
        <v>78</v>
      </c>
      <c r="N418" t="s">
        <v>2737</v>
      </c>
      <c r="O418" t="s">
        <v>74</v>
      </c>
      <c r="P418" t="s">
        <v>74</v>
      </c>
      <c r="Q418" t="s">
        <v>74</v>
      </c>
      <c r="R418" t="s">
        <v>74</v>
      </c>
      <c r="S418" t="s">
        <v>74</v>
      </c>
      <c r="T418" t="s">
        <v>74</v>
      </c>
      <c r="U418" t="s">
        <v>4314</v>
      </c>
      <c r="V418" t="s">
        <v>4315</v>
      </c>
      <c r="W418" t="s">
        <v>4316</v>
      </c>
      <c r="X418" t="s">
        <v>4317</v>
      </c>
      <c r="Y418" t="s">
        <v>4318</v>
      </c>
      <c r="Z418" t="s">
        <v>4319</v>
      </c>
      <c r="AA418" t="s">
        <v>4320</v>
      </c>
      <c r="AB418" t="s">
        <v>4321</v>
      </c>
      <c r="AC418" t="s">
        <v>74</v>
      </c>
      <c r="AD418" t="s">
        <v>74</v>
      </c>
      <c r="AE418" t="s">
        <v>74</v>
      </c>
      <c r="AF418" t="s">
        <v>74</v>
      </c>
      <c r="AG418">
        <v>23</v>
      </c>
      <c r="AH418">
        <v>21</v>
      </c>
      <c r="AI418">
        <v>23</v>
      </c>
      <c r="AJ418">
        <v>0</v>
      </c>
      <c r="AK418">
        <v>5</v>
      </c>
      <c r="AL418" t="s">
        <v>4322</v>
      </c>
      <c r="AM418" t="s">
        <v>4323</v>
      </c>
      <c r="AN418" t="s">
        <v>4324</v>
      </c>
      <c r="AO418" t="s">
        <v>4325</v>
      </c>
      <c r="AP418" t="s">
        <v>74</v>
      </c>
      <c r="AQ418" t="s">
        <v>74</v>
      </c>
      <c r="AR418" t="s">
        <v>4326</v>
      </c>
      <c r="AS418" t="s">
        <v>4327</v>
      </c>
      <c r="AT418" t="s">
        <v>4117</v>
      </c>
      <c r="AU418">
        <v>2008</v>
      </c>
      <c r="AV418">
        <v>57</v>
      </c>
      <c r="AW418">
        <v>2</v>
      </c>
      <c r="AX418" t="s">
        <v>74</v>
      </c>
      <c r="AY418" t="s">
        <v>74</v>
      </c>
      <c r="AZ418" t="s">
        <v>74</v>
      </c>
      <c r="BA418" t="s">
        <v>74</v>
      </c>
      <c r="BB418">
        <v>109</v>
      </c>
      <c r="BC418">
        <v>120</v>
      </c>
      <c r="BD418" t="s">
        <v>74</v>
      </c>
      <c r="BE418" t="s">
        <v>74</v>
      </c>
      <c r="BF418" t="s">
        <v>74</v>
      </c>
      <c r="BG418" t="s">
        <v>74</v>
      </c>
      <c r="BH418" t="s">
        <v>74</v>
      </c>
      <c r="BI418">
        <v>12</v>
      </c>
      <c r="BJ418" t="s">
        <v>3071</v>
      </c>
      <c r="BK418" t="s">
        <v>419</v>
      </c>
      <c r="BL418" t="s">
        <v>3071</v>
      </c>
      <c r="BM418" t="s">
        <v>4328</v>
      </c>
      <c r="BN418" t="s">
        <v>74</v>
      </c>
      <c r="BO418" t="s">
        <v>74</v>
      </c>
      <c r="BP418" t="s">
        <v>74</v>
      </c>
      <c r="BQ418" t="s">
        <v>74</v>
      </c>
      <c r="BR418" t="s">
        <v>101</v>
      </c>
      <c r="BS418" t="s">
        <v>4329</v>
      </c>
      <c r="BT418" t="str">
        <f>HYPERLINK("https%3A%2F%2Fwww.webofscience.com%2Fwos%2Fwoscc%2Ffull-record%2FWOS:000259614200003","View Full Record in Web of Science")</f>
        <v>View Full Record in Web of Science</v>
      </c>
    </row>
    <row r="419" spans="1:72" x14ac:dyDescent="0.15">
      <c r="A419" t="s">
        <v>72</v>
      </c>
      <c r="B419" t="s">
        <v>4330</v>
      </c>
      <c r="C419" t="s">
        <v>74</v>
      </c>
      <c r="D419" t="s">
        <v>74</v>
      </c>
      <c r="E419" t="s">
        <v>74</v>
      </c>
      <c r="F419" t="s">
        <v>4331</v>
      </c>
      <c r="G419" t="s">
        <v>74</v>
      </c>
      <c r="H419" t="s">
        <v>74</v>
      </c>
      <c r="I419" t="s">
        <v>4332</v>
      </c>
      <c r="J419" t="s">
        <v>4333</v>
      </c>
      <c r="K419" t="s">
        <v>74</v>
      </c>
      <c r="L419" t="s">
        <v>74</v>
      </c>
      <c r="M419" t="s">
        <v>78</v>
      </c>
      <c r="N419" t="s">
        <v>2737</v>
      </c>
      <c r="O419" t="s">
        <v>74</v>
      </c>
      <c r="P419" t="s">
        <v>74</v>
      </c>
      <c r="Q419" t="s">
        <v>74</v>
      </c>
      <c r="R419" t="s">
        <v>74</v>
      </c>
      <c r="S419" t="s">
        <v>74</v>
      </c>
      <c r="T419" t="s">
        <v>4334</v>
      </c>
      <c r="U419" t="s">
        <v>4335</v>
      </c>
      <c r="V419" t="s">
        <v>4336</v>
      </c>
      <c r="W419" t="s">
        <v>4337</v>
      </c>
      <c r="X419" t="s">
        <v>2786</v>
      </c>
      <c r="Y419" t="s">
        <v>4338</v>
      </c>
      <c r="Z419" t="s">
        <v>4339</v>
      </c>
      <c r="AA419" t="s">
        <v>74</v>
      </c>
      <c r="AB419" t="s">
        <v>74</v>
      </c>
      <c r="AC419" t="s">
        <v>4340</v>
      </c>
      <c r="AD419" t="s">
        <v>3031</v>
      </c>
      <c r="AE419" t="s">
        <v>74</v>
      </c>
      <c r="AF419" t="s">
        <v>74</v>
      </c>
      <c r="AG419">
        <v>28</v>
      </c>
      <c r="AH419">
        <v>32</v>
      </c>
      <c r="AI419">
        <v>36</v>
      </c>
      <c r="AJ419">
        <v>0</v>
      </c>
      <c r="AK419">
        <v>5</v>
      </c>
      <c r="AL419" t="s">
        <v>2746</v>
      </c>
      <c r="AM419" t="s">
        <v>2793</v>
      </c>
      <c r="AN419" t="s">
        <v>2794</v>
      </c>
      <c r="AO419" t="s">
        <v>4341</v>
      </c>
      <c r="AP419" t="s">
        <v>4342</v>
      </c>
      <c r="AQ419" t="s">
        <v>74</v>
      </c>
      <c r="AR419" t="s">
        <v>4343</v>
      </c>
      <c r="AS419" t="s">
        <v>4344</v>
      </c>
      <c r="AT419" t="s">
        <v>4117</v>
      </c>
      <c r="AU419">
        <v>2008</v>
      </c>
      <c r="AV419">
        <v>127</v>
      </c>
      <c r="AW419">
        <v>3</v>
      </c>
      <c r="AX419" t="s">
        <v>74</v>
      </c>
      <c r="AY419" t="s">
        <v>74</v>
      </c>
      <c r="AZ419" t="s">
        <v>74</v>
      </c>
      <c r="BA419" t="s">
        <v>74</v>
      </c>
      <c r="BB419">
        <v>413</v>
      </c>
      <c r="BC419">
        <v>428</v>
      </c>
      <c r="BD419" t="s">
        <v>74</v>
      </c>
      <c r="BE419" t="s">
        <v>4345</v>
      </c>
      <c r="BF419" t="str">
        <f>HYPERLINK("http://dx.doi.org/10.1007/s10546-008-9271-4","http://dx.doi.org/10.1007/s10546-008-9271-4")</f>
        <v>http://dx.doi.org/10.1007/s10546-008-9271-4</v>
      </c>
      <c r="BG419" t="s">
        <v>74</v>
      </c>
      <c r="BH419" t="s">
        <v>74</v>
      </c>
      <c r="BI419">
        <v>16</v>
      </c>
      <c r="BJ419" t="s">
        <v>3071</v>
      </c>
      <c r="BK419" t="s">
        <v>419</v>
      </c>
      <c r="BL419" t="s">
        <v>3071</v>
      </c>
      <c r="BM419" t="s">
        <v>4346</v>
      </c>
      <c r="BN419" t="s">
        <v>74</v>
      </c>
      <c r="BO419" t="s">
        <v>3033</v>
      </c>
      <c r="BP419" t="s">
        <v>74</v>
      </c>
      <c r="BQ419" t="s">
        <v>74</v>
      </c>
      <c r="BR419" t="s">
        <v>101</v>
      </c>
      <c r="BS419" t="s">
        <v>4347</v>
      </c>
      <c r="BT419" t="str">
        <f>HYPERLINK("https%3A%2F%2Fwww.webofscience.com%2Fwos%2Fwoscc%2Ffull-record%2FWOS:000255396900003","View Full Record in Web of Science")</f>
        <v>View Full Record in Web of Science</v>
      </c>
    </row>
    <row r="420" spans="1:72" x14ac:dyDescent="0.15">
      <c r="A420" t="s">
        <v>72</v>
      </c>
      <c r="B420" t="s">
        <v>4348</v>
      </c>
      <c r="C420" t="s">
        <v>74</v>
      </c>
      <c r="D420" t="s">
        <v>74</v>
      </c>
      <c r="E420" t="s">
        <v>74</v>
      </c>
      <c r="F420" t="s">
        <v>4349</v>
      </c>
      <c r="G420" t="s">
        <v>74</v>
      </c>
      <c r="H420" t="s">
        <v>74</v>
      </c>
      <c r="I420" t="s">
        <v>4350</v>
      </c>
      <c r="J420" t="s">
        <v>4351</v>
      </c>
      <c r="K420" t="s">
        <v>74</v>
      </c>
      <c r="L420" t="s">
        <v>74</v>
      </c>
      <c r="M420" t="s">
        <v>78</v>
      </c>
      <c r="N420" t="s">
        <v>3318</v>
      </c>
      <c r="O420" t="s">
        <v>4352</v>
      </c>
      <c r="P420">
        <v>2007</v>
      </c>
      <c r="Q420" t="s">
        <v>4353</v>
      </c>
      <c r="R420" t="s">
        <v>74</v>
      </c>
      <c r="S420" t="s">
        <v>4354</v>
      </c>
      <c r="T420" t="s">
        <v>4355</v>
      </c>
      <c r="U420" t="s">
        <v>4356</v>
      </c>
      <c r="V420" t="s">
        <v>4357</v>
      </c>
      <c r="W420" t="s">
        <v>4358</v>
      </c>
      <c r="X420" t="s">
        <v>4359</v>
      </c>
      <c r="Y420" t="s">
        <v>4360</v>
      </c>
      <c r="Z420" t="s">
        <v>4361</v>
      </c>
      <c r="AA420" t="s">
        <v>4362</v>
      </c>
      <c r="AB420" t="s">
        <v>4363</v>
      </c>
      <c r="AC420" t="s">
        <v>74</v>
      </c>
      <c r="AD420" t="s">
        <v>74</v>
      </c>
      <c r="AE420" t="s">
        <v>74</v>
      </c>
      <c r="AF420" t="s">
        <v>74</v>
      </c>
      <c r="AG420">
        <v>33</v>
      </c>
      <c r="AH420">
        <v>15</v>
      </c>
      <c r="AI420">
        <v>17</v>
      </c>
      <c r="AJ420">
        <v>0</v>
      </c>
      <c r="AK420">
        <v>15</v>
      </c>
      <c r="AL420" t="s">
        <v>2964</v>
      </c>
      <c r="AM420" t="s">
        <v>4364</v>
      </c>
      <c r="AN420" t="s">
        <v>4365</v>
      </c>
      <c r="AO420" t="s">
        <v>4366</v>
      </c>
      <c r="AP420" t="s">
        <v>74</v>
      </c>
      <c r="AQ420" t="s">
        <v>74</v>
      </c>
      <c r="AR420" t="s">
        <v>4367</v>
      </c>
      <c r="AS420" t="s">
        <v>4368</v>
      </c>
      <c r="AT420" t="s">
        <v>4117</v>
      </c>
      <c r="AU420">
        <v>2008</v>
      </c>
      <c r="AV420">
        <v>98</v>
      </c>
      <c r="AW420">
        <v>3</v>
      </c>
      <c r="AX420" t="s">
        <v>74</v>
      </c>
      <c r="AY420" t="s">
        <v>74</v>
      </c>
      <c r="AZ420" t="s">
        <v>74</v>
      </c>
      <c r="BA420" t="s">
        <v>74</v>
      </c>
      <c r="BB420">
        <v>233</v>
      </c>
      <c r="BC420">
        <v>238</v>
      </c>
      <c r="BD420" t="s">
        <v>74</v>
      </c>
      <c r="BE420" t="s">
        <v>4369</v>
      </c>
      <c r="BF420" t="str">
        <f>HYPERLINK("http://dx.doi.org/10.1017/S0007485308005981","http://dx.doi.org/10.1017/S0007485308005981")</f>
        <v>http://dx.doi.org/10.1017/S0007485308005981</v>
      </c>
      <c r="BG420" t="s">
        <v>74</v>
      </c>
      <c r="BH420" t="s">
        <v>74</v>
      </c>
      <c r="BI420">
        <v>6</v>
      </c>
      <c r="BJ420" t="s">
        <v>4370</v>
      </c>
      <c r="BK420" t="s">
        <v>99</v>
      </c>
      <c r="BL420" t="s">
        <v>4370</v>
      </c>
      <c r="BM420" t="s">
        <v>4371</v>
      </c>
      <c r="BN420">
        <v>18439347</v>
      </c>
      <c r="BO420" t="s">
        <v>4372</v>
      </c>
      <c r="BP420" t="s">
        <v>74</v>
      </c>
      <c r="BQ420" t="s">
        <v>74</v>
      </c>
      <c r="BR420" t="s">
        <v>101</v>
      </c>
      <c r="BS420" t="s">
        <v>4373</v>
      </c>
      <c r="BT420" t="str">
        <f>HYPERLINK("https%3A%2F%2Fwww.webofscience.com%2Fwos%2Fwoscc%2Ffull-record%2FWOS:000259233600004","View Full Record in Web of Science")</f>
        <v>View Full Record in Web of Science</v>
      </c>
    </row>
    <row r="421" spans="1:72" x14ac:dyDescent="0.15">
      <c r="A421" t="s">
        <v>72</v>
      </c>
      <c r="B421" t="s">
        <v>4374</v>
      </c>
      <c r="C421" t="s">
        <v>74</v>
      </c>
      <c r="D421" t="s">
        <v>74</v>
      </c>
      <c r="E421" t="s">
        <v>74</v>
      </c>
      <c r="F421" t="s">
        <v>4375</v>
      </c>
      <c r="G421" t="s">
        <v>74</v>
      </c>
      <c r="H421" t="s">
        <v>74</v>
      </c>
      <c r="I421" t="s">
        <v>4376</v>
      </c>
      <c r="J421" t="s">
        <v>4351</v>
      </c>
      <c r="K421" t="s">
        <v>74</v>
      </c>
      <c r="L421" t="s">
        <v>74</v>
      </c>
      <c r="M421" t="s">
        <v>78</v>
      </c>
      <c r="N421" t="s">
        <v>3318</v>
      </c>
      <c r="O421" t="s">
        <v>4352</v>
      </c>
      <c r="P421">
        <v>2007</v>
      </c>
      <c r="Q421" t="s">
        <v>4353</v>
      </c>
      <c r="R421" t="s">
        <v>74</v>
      </c>
      <c r="S421" t="s">
        <v>4354</v>
      </c>
      <c r="T421" t="s">
        <v>4377</v>
      </c>
      <c r="U421" t="s">
        <v>4378</v>
      </c>
      <c r="V421" t="s">
        <v>4379</v>
      </c>
      <c r="W421" t="s">
        <v>4380</v>
      </c>
      <c r="X421" t="s">
        <v>4381</v>
      </c>
      <c r="Y421" t="s">
        <v>4382</v>
      </c>
      <c r="Z421" t="s">
        <v>4383</v>
      </c>
      <c r="AA421" t="s">
        <v>4384</v>
      </c>
      <c r="AB421" t="s">
        <v>4385</v>
      </c>
      <c r="AC421" t="s">
        <v>74</v>
      </c>
      <c r="AD421" t="s">
        <v>74</v>
      </c>
      <c r="AE421" t="s">
        <v>74</v>
      </c>
      <c r="AF421" t="s">
        <v>74</v>
      </c>
      <c r="AG421">
        <v>32</v>
      </c>
      <c r="AH421">
        <v>22</v>
      </c>
      <c r="AI421">
        <v>23</v>
      </c>
      <c r="AJ421">
        <v>0</v>
      </c>
      <c r="AK421">
        <v>16</v>
      </c>
      <c r="AL421" t="s">
        <v>2964</v>
      </c>
      <c r="AM421" t="s">
        <v>4364</v>
      </c>
      <c r="AN421" t="s">
        <v>4365</v>
      </c>
      <c r="AO421" t="s">
        <v>4366</v>
      </c>
      <c r="AP421" t="s">
        <v>4386</v>
      </c>
      <c r="AQ421" t="s">
        <v>74</v>
      </c>
      <c r="AR421" t="s">
        <v>4367</v>
      </c>
      <c r="AS421" t="s">
        <v>4368</v>
      </c>
      <c r="AT421" t="s">
        <v>4117</v>
      </c>
      <c r="AU421">
        <v>2008</v>
      </c>
      <c r="AV421">
        <v>98</v>
      </c>
      <c r="AW421">
        <v>3</v>
      </c>
      <c r="AX421" t="s">
        <v>74</v>
      </c>
      <c r="AY421" t="s">
        <v>74</v>
      </c>
      <c r="AZ421" t="s">
        <v>74</v>
      </c>
      <c r="BA421" t="s">
        <v>74</v>
      </c>
      <c r="BB421">
        <v>239</v>
      </c>
      <c r="BC421">
        <v>248</v>
      </c>
      <c r="BD421" t="s">
        <v>74</v>
      </c>
      <c r="BE421" t="s">
        <v>4387</v>
      </c>
      <c r="BF421" t="str">
        <f>HYPERLINK("http://dx.doi.org/10.1017/S0007485308005993","http://dx.doi.org/10.1017/S0007485308005993")</f>
        <v>http://dx.doi.org/10.1017/S0007485308005993</v>
      </c>
      <c r="BG421" t="s">
        <v>74</v>
      </c>
      <c r="BH421" t="s">
        <v>74</v>
      </c>
      <c r="BI421">
        <v>10</v>
      </c>
      <c r="BJ421" t="s">
        <v>4370</v>
      </c>
      <c r="BK421" t="s">
        <v>99</v>
      </c>
      <c r="BL421" t="s">
        <v>4370</v>
      </c>
      <c r="BM421" t="s">
        <v>4371</v>
      </c>
      <c r="BN421">
        <v>18439341</v>
      </c>
      <c r="BO421" t="s">
        <v>4388</v>
      </c>
      <c r="BP421" t="s">
        <v>74</v>
      </c>
      <c r="BQ421" t="s">
        <v>74</v>
      </c>
      <c r="BR421" t="s">
        <v>101</v>
      </c>
      <c r="BS421" t="s">
        <v>4389</v>
      </c>
      <c r="BT421" t="str">
        <f>HYPERLINK("https%3A%2F%2Fwww.webofscience.com%2Fwos%2Fwoscc%2Ffull-record%2FWOS:000259233600005","View Full Record in Web of Science")</f>
        <v>View Full Record in Web of Science</v>
      </c>
    </row>
    <row r="422" spans="1:72" x14ac:dyDescent="0.15">
      <c r="A422" t="s">
        <v>72</v>
      </c>
      <c r="B422" t="s">
        <v>4390</v>
      </c>
      <c r="C422" t="s">
        <v>74</v>
      </c>
      <c r="D422" t="s">
        <v>74</v>
      </c>
      <c r="E422" t="s">
        <v>74</v>
      </c>
      <c r="F422" t="s">
        <v>4391</v>
      </c>
      <c r="G422" t="s">
        <v>74</v>
      </c>
      <c r="H422" t="s">
        <v>74</v>
      </c>
      <c r="I422" t="s">
        <v>4392</v>
      </c>
      <c r="J422" t="s">
        <v>4393</v>
      </c>
      <c r="K422" t="s">
        <v>74</v>
      </c>
      <c r="L422" t="s">
        <v>74</v>
      </c>
      <c r="M422" t="s">
        <v>78</v>
      </c>
      <c r="N422" t="s">
        <v>2737</v>
      </c>
      <c r="O422" t="s">
        <v>74</v>
      </c>
      <c r="P422" t="s">
        <v>74</v>
      </c>
      <c r="Q422" t="s">
        <v>74</v>
      </c>
      <c r="R422" t="s">
        <v>74</v>
      </c>
      <c r="S422" t="s">
        <v>74</v>
      </c>
      <c r="T422" t="s">
        <v>4394</v>
      </c>
      <c r="U422" t="s">
        <v>4395</v>
      </c>
      <c r="V422" t="s">
        <v>4396</v>
      </c>
      <c r="W422" t="s">
        <v>4397</v>
      </c>
      <c r="X422" t="s">
        <v>4398</v>
      </c>
      <c r="Y422" t="s">
        <v>4399</v>
      </c>
      <c r="Z422" t="s">
        <v>4400</v>
      </c>
      <c r="AA422" t="s">
        <v>3085</v>
      </c>
      <c r="AB422" t="s">
        <v>74</v>
      </c>
      <c r="AC422" t="s">
        <v>74</v>
      </c>
      <c r="AD422" t="s">
        <v>74</v>
      </c>
      <c r="AE422" t="s">
        <v>74</v>
      </c>
      <c r="AF422" t="s">
        <v>74</v>
      </c>
      <c r="AG422">
        <v>17</v>
      </c>
      <c r="AH422">
        <v>7</v>
      </c>
      <c r="AI422">
        <v>7</v>
      </c>
      <c r="AJ422">
        <v>0</v>
      </c>
      <c r="AK422">
        <v>11</v>
      </c>
      <c r="AL422" t="s">
        <v>3086</v>
      </c>
      <c r="AM422" t="s">
        <v>3087</v>
      </c>
      <c r="AN422" t="s">
        <v>3088</v>
      </c>
      <c r="AO422" t="s">
        <v>4401</v>
      </c>
      <c r="AP422" t="s">
        <v>74</v>
      </c>
      <c r="AQ422" t="s">
        <v>74</v>
      </c>
      <c r="AR422" t="s">
        <v>4402</v>
      </c>
      <c r="AS422" t="s">
        <v>4403</v>
      </c>
      <c r="AT422" t="s">
        <v>4117</v>
      </c>
      <c r="AU422">
        <v>2008</v>
      </c>
      <c r="AV422">
        <v>53</v>
      </c>
      <c r="AW422">
        <v>11</v>
      </c>
      <c r="AX422" t="s">
        <v>74</v>
      </c>
      <c r="AY422" t="s">
        <v>74</v>
      </c>
      <c r="AZ422" t="s">
        <v>74</v>
      </c>
      <c r="BA422" t="s">
        <v>74</v>
      </c>
      <c r="BB422">
        <v>1740</v>
      </c>
      <c r="BC422">
        <v>1744</v>
      </c>
      <c r="BD422" t="s">
        <v>74</v>
      </c>
      <c r="BE422" t="s">
        <v>4404</v>
      </c>
      <c r="BF422" t="str">
        <f>HYPERLINK("http://dx.doi.org/10.1007/s11434-008-0114-y","http://dx.doi.org/10.1007/s11434-008-0114-y")</f>
        <v>http://dx.doi.org/10.1007/s11434-008-0114-y</v>
      </c>
      <c r="BG422" t="s">
        <v>74</v>
      </c>
      <c r="BH422" t="s">
        <v>74</v>
      </c>
      <c r="BI422">
        <v>5</v>
      </c>
      <c r="BJ422" t="s">
        <v>3123</v>
      </c>
      <c r="BK422" t="s">
        <v>419</v>
      </c>
      <c r="BL422" t="s">
        <v>3124</v>
      </c>
      <c r="BM422" t="s">
        <v>4405</v>
      </c>
      <c r="BN422" t="s">
        <v>74</v>
      </c>
      <c r="BO422" t="s">
        <v>74</v>
      </c>
      <c r="BP422" t="s">
        <v>74</v>
      </c>
      <c r="BQ422" t="s">
        <v>74</v>
      </c>
      <c r="BR422" t="s">
        <v>101</v>
      </c>
      <c r="BS422" t="s">
        <v>4406</v>
      </c>
      <c r="BT422" t="str">
        <f>HYPERLINK("https%3A%2F%2Fwww.webofscience.com%2Fwos%2Fwoscc%2Ffull-record%2FWOS:000256188200017","View Full Record in Web of Science")</f>
        <v>View Full Record in Web of Science</v>
      </c>
    </row>
    <row r="423" spans="1:72" x14ac:dyDescent="0.15">
      <c r="A423" t="s">
        <v>72</v>
      </c>
      <c r="B423" t="s">
        <v>4407</v>
      </c>
      <c r="C423" t="s">
        <v>74</v>
      </c>
      <c r="D423" t="s">
        <v>74</v>
      </c>
      <c r="E423" t="s">
        <v>74</v>
      </c>
      <c r="F423" t="s">
        <v>4408</v>
      </c>
      <c r="G423" t="s">
        <v>74</v>
      </c>
      <c r="H423" t="s">
        <v>74</v>
      </c>
      <c r="I423" t="s">
        <v>4409</v>
      </c>
      <c r="J423" t="s">
        <v>4410</v>
      </c>
      <c r="K423" t="s">
        <v>74</v>
      </c>
      <c r="L423" t="s">
        <v>74</v>
      </c>
      <c r="M423" t="s">
        <v>78</v>
      </c>
      <c r="N423" t="s">
        <v>2737</v>
      </c>
      <c r="O423" t="s">
        <v>74</v>
      </c>
      <c r="P423" t="s">
        <v>74</v>
      </c>
      <c r="Q423" t="s">
        <v>74</v>
      </c>
      <c r="R423" t="s">
        <v>74</v>
      </c>
      <c r="S423" t="s">
        <v>74</v>
      </c>
      <c r="T423" t="s">
        <v>74</v>
      </c>
      <c r="U423" t="s">
        <v>4411</v>
      </c>
      <c r="V423" t="s">
        <v>4412</v>
      </c>
      <c r="W423" t="s">
        <v>4413</v>
      </c>
      <c r="X423" t="s">
        <v>4414</v>
      </c>
      <c r="Y423" t="s">
        <v>4415</v>
      </c>
      <c r="Z423" t="s">
        <v>4416</v>
      </c>
      <c r="AA423" t="s">
        <v>4417</v>
      </c>
      <c r="AB423" t="s">
        <v>4418</v>
      </c>
      <c r="AC423" t="s">
        <v>74</v>
      </c>
      <c r="AD423" t="s">
        <v>74</v>
      </c>
      <c r="AE423" t="s">
        <v>74</v>
      </c>
      <c r="AF423" t="s">
        <v>74</v>
      </c>
      <c r="AG423">
        <v>60</v>
      </c>
      <c r="AH423">
        <v>11</v>
      </c>
      <c r="AI423">
        <v>12</v>
      </c>
      <c r="AJ423">
        <v>0</v>
      </c>
      <c r="AK423">
        <v>15</v>
      </c>
      <c r="AL423" t="s">
        <v>2746</v>
      </c>
      <c r="AM423" t="s">
        <v>2747</v>
      </c>
      <c r="AN423" t="s">
        <v>2748</v>
      </c>
      <c r="AO423" t="s">
        <v>4419</v>
      </c>
      <c r="AP423" t="s">
        <v>74</v>
      </c>
      <c r="AQ423" t="s">
        <v>74</v>
      </c>
      <c r="AR423" t="s">
        <v>4420</v>
      </c>
      <c r="AS423" t="s">
        <v>4421</v>
      </c>
      <c r="AT423" t="s">
        <v>4117</v>
      </c>
      <c r="AU423">
        <v>2008</v>
      </c>
      <c r="AV423">
        <v>30</v>
      </c>
      <c r="AW423" t="s">
        <v>4422</v>
      </c>
      <c r="AX423" t="s">
        <v>74</v>
      </c>
      <c r="AY423" t="s">
        <v>74</v>
      </c>
      <c r="AZ423" t="s">
        <v>74</v>
      </c>
      <c r="BA423" t="s">
        <v>74</v>
      </c>
      <c r="BB423">
        <v>703</v>
      </c>
      <c r="BC423">
        <v>726</v>
      </c>
      <c r="BD423" t="s">
        <v>74</v>
      </c>
      <c r="BE423" t="s">
        <v>4423</v>
      </c>
      <c r="BF423" t="str">
        <f>HYPERLINK("http://dx.doi.org/10.1007/s00382-007-0318-x","http://dx.doi.org/10.1007/s00382-007-0318-x")</f>
        <v>http://dx.doi.org/10.1007/s00382-007-0318-x</v>
      </c>
      <c r="BG423" t="s">
        <v>74</v>
      </c>
      <c r="BH423" t="s">
        <v>74</v>
      </c>
      <c r="BI423">
        <v>24</v>
      </c>
      <c r="BJ423" t="s">
        <v>3071</v>
      </c>
      <c r="BK423" t="s">
        <v>419</v>
      </c>
      <c r="BL423" t="s">
        <v>3071</v>
      </c>
      <c r="BM423" t="s">
        <v>4424</v>
      </c>
      <c r="BN423" t="s">
        <v>74</v>
      </c>
      <c r="BO423" t="s">
        <v>74</v>
      </c>
      <c r="BP423" t="s">
        <v>74</v>
      </c>
      <c r="BQ423" t="s">
        <v>74</v>
      </c>
      <c r="BR423" t="s">
        <v>101</v>
      </c>
      <c r="BS423" t="s">
        <v>4425</v>
      </c>
      <c r="BT423" t="str">
        <f>HYPERLINK("https%3A%2F%2Fwww.webofscience.com%2Fwos%2Fwoscc%2Ffull-record%2FWOS:000255090500003","View Full Record in Web of Science")</f>
        <v>View Full Record in Web of Science</v>
      </c>
    </row>
    <row r="424" spans="1:72" x14ac:dyDescent="0.15">
      <c r="A424" t="s">
        <v>72</v>
      </c>
      <c r="B424" t="s">
        <v>4426</v>
      </c>
      <c r="C424" t="s">
        <v>74</v>
      </c>
      <c r="D424" t="s">
        <v>74</v>
      </c>
      <c r="E424" t="s">
        <v>74</v>
      </c>
      <c r="F424" t="s">
        <v>4427</v>
      </c>
      <c r="G424" t="s">
        <v>74</v>
      </c>
      <c r="H424" t="s">
        <v>74</v>
      </c>
      <c r="I424" t="s">
        <v>4428</v>
      </c>
      <c r="J424" t="s">
        <v>4410</v>
      </c>
      <c r="K424" t="s">
        <v>74</v>
      </c>
      <c r="L424" t="s">
        <v>74</v>
      </c>
      <c r="M424" t="s">
        <v>78</v>
      </c>
      <c r="N424" t="s">
        <v>2737</v>
      </c>
      <c r="O424" t="s">
        <v>74</v>
      </c>
      <c r="P424" t="s">
        <v>74</v>
      </c>
      <c r="Q424" t="s">
        <v>74</v>
      </c>
      <c r="R424" t="s">
        <v>74</v>
      </c>
      <c r="S424" t="s">
        <v>74</v>
      </c>
      <c r="T424" t="s">
        <v>74</v>
      </c>
      <c r="U424" t="s">
        <v>4429</v>
      </c>
      <c r="V424" t="s">
        <v>4430</v>
      </c>
      <c r="W424" t="s">
        <v>4431</v>
      </c>
      <c r="X424" t="s">
        <v>4432</v>
      </c>
      <c r="Y424" t="s">
        <v>4433</v>
      </c>
      <c r="Z424" t="s">
        <v>4434</v>
      </c>
      <c r="AA424" t="s">
        <v>4435</v>
      </c>
      <c r="AB424" t="s">
        <v>4436</v>
      </c>
      <c r="AC424" t="s">
        <v>4437</v>
      </c>
      <c r="AD424" t="s">
        <v>3031</v>
      </c>
      <c r="AE424" t="s">
        <v>74</v>
      </c>
      <c r="AF424" t="s">
        <v>74</v>
      </c>
      <c r="AG424">
        <v>66</v>
      </c>
      <c r="AH424">
        <v>90</v>
      </c>
      <c r="AI424">
        <v>98</v>
      </c>
      <c r="AJ424">
        <v>0</v>
      </c>
      <c r="AK424">
        <v>15</v>
      </c>
      <c r="AL424" t="s">
        <v>2746</v>
      </c>
      <c r="AM424" t="s">
        <v>2747</v>
      </c>
      <c r="AN424" t="s">
        <v>2924</v>
      </c>
      <c r="AO424" t="s">
        <v>4419</v>
      </c>
      <c r="AP424" t="s">
        <v>4438</v>
      </c>
      <c r="AQ424" t="s">
        <v>74</v>
      </c>
      <c r="AR424" t="s">
        <v>4420</v>
      </c>
      <c r="AS424" t="s">
        <v>4421</v>
      </c>
      <c r="AT424" t="s">
        <v>4117</v>
      </c>
      <c r="AU424">
        <v>2008</v>
      </c>
      <c r="AV424">
        <v>30</v>
      </c>
      <c r="AW424" t="s">
        <v>4422</v>
      </c>
      <c r="AX424" t="s">
        <v>74</v>
      </c>
      <c r="AY424" t="s">
        <v>74</v>
      </c>
      <c r="AZ424" t="s">
        <v>74</v>
      </c>
      <c r="BA424" t="s">
        <v>74</v>
      </c>
      <c r="BB424">
        <v>871</v>
      </c>
      <c r="BC424">
        <v>885</v>
      </c>
      <c r="BD424" t="s">
        <v>74</v>
      </c>
      <c r="BE424" t="s">
        <v>4439</v>
      </c>
      <c r="BF424" t="str">
        <f>HYPERLINK("http://dx.doi.org/10.1007/s00382-007-0331-0","http://dx.doi.org/10.1007/s00382-007-0331-0")</f>
        <v>http://dx.doi.org/10.1007/s00382-007-0331-0</v>
      </c>
      <c r="BG424" t="s">
        <v>74</v>
      </c>
      <c r="BH424" t="s">
        <v>74</v>
      </c>
      <c r="BI424">
        <v>15</v>
      </c>
      <c r="BJ424" t="s">
        <v>3071</v>
      </c>
      <c r="BK424" t="s">
        <v>419</v>
      </c>
      <c r="BL424" t="s">
        <v>3071</v>
      </c>
      <c r="BM424" t="s">
        <v>4424</v>
      </c>
      <c r="BN424" t="s">
        <v>74</v>
      </c>
      <c r="BO424" t="s">
        <v>74</v>
      </c>
      <c r="BP424" t="s">
        <v>74</v>
      </c>
      <c r="BQ424" t="s">
        <v>74</v>
      </c>
      <c r="BR424" t="s">
        <v>101</v>
      </c>
      <c r="BS424" t="s">
        <v>4440</v>
      </c>
      <c r="BT424" t="str">
        <f>HYPERLINK("https%3A%2F%2Fwww.webofscience.com%2Fwos%2Fwoscc%2Ffull-record%2FWOS:000255090500014","View Full Record in Web of Science")</f>
        <v>View Full Record in Web of Science</v>
      </c>
    </row>
    <row r="425" spans="1:72" x14ac:dyDescent="0.15">
      <c r="A425" t="s">
        <v>72</v>
      </c>
      <c r="B425" t="s">
        <v>4441</v>
      </c>
      <c r="C425" t="s">
        <v>74</v>
      </c>
      <c r="D425" t="s">
        <v>74</v>
      </c>
      <c r="E425" t="s">
        <v>74</v>
      </c>
      <c r="F425" t="s">
        <v>4442</v>
      </c>
      <c r="G425" t="s">
        <v>74</v>
      </c>
      <c r="H425" t="s">
        <v>74</v>
      </c>
      <c r="I425" t="s">
        <v>4443</v>
      </c>
      <c r="J425" t="s">
        <v>4444</v>
      </c>
      <c r="K425" t="s">
        <v>74</v>
      </c>
      <c r="L425" t="s">
        <v>74</v>
      </c>
      <c r="M425" t="s">
        <v>78</v>
      </c>
      <c r="N425" t="s">
        <v>2737</v>
      </c>
      <c r="O425" t="s">
        <v>74</v>
      </c>
      <c r="P425" t="s">
        <v>74</v>
      </c>
      <c r="Q425" t="s">
        <v>74</v>
      </c>
      <c r="R425" t="s">
        <v>74</v>
      </c>
      <c r="S425" t="s">
        <v>74</v>
      </c>
      <c r="T425" t="s">
        <v>74</v>
      </c>
      <c r="U425" t="s">
        <v>4445</v>
      </c>
      <c r="V425" t="s">
        <v>4446</v>
      </c>
      <c r="W425" t="s">
        <v>4447</v>
      </c>
      <c r="X425" t="s">
        <v>4448</v>
      </c>
      <c r="Y425" t="s">
        <v>4449</v>
      </c>
      <c r="Z425" t="s">
        <v>4450</v>
      </c>
      <c r="AA425" t="s">
        <v>74</v>
      </c>
      <c r="AB425" t="s">
        <v>4451</v>
      </c>
      <c r="AC425" t="s">
        <v>74</v>
      </c>
      <c r="AD425" t="s">
        <v>74</v>
      </c>
      <c r="AE425" t="s">
        <v>74</v>
      </c>
      <c r="AF425" t="s">
        <v>74</v>
      </c>
      <c r="AG425">
        <v>26</v>
      </c>
      <c r="AH425">
        <v>20</v>
      </c>
      <c r="AI425">
        <v>22</v>
      </c>
      <c r="AJ425">
        <v>1</v>
      </c>
      <c r="AK425">
        <v>6</v>
      </c>
      <c r="AL425" t="s">
        <v>2746</v>
      </c>
      <c r="AM425" t="s">
        <v>2793</v>
      </c>
      <c r="AN425" t="s">
        <v>2794</v>
      </c>
      <c r="AO425" t="s">
        <v>4452</v>
      </c>
      <c r="AP425" t="s">
        <v>74</v>
      </c>
      <c r="AQ425" t="s">
        <v>74</v>
      </c>
      <c r="AR425" t="s">
        <v>4444</v>
      </c>
      <c r="AS425" t="s">
        <v>4453</v>
      </c>
      <c r="AT425" t="s">
        <v>4117</v>
      </c>
      <c r="AU425">
        <v>2008</v>
      </c>
      <c r="AV425">
        <v>88</v>
      </c>
      <c r="AW425" t="s">
        <v>3263</v>
      </c>
      <c r="AX425" t="s">
        <v>74</v>
      </c>
      <c r="AY425" t="s">
        <v>74</v>
      </c>
      <c r="AZ425" t="s">
        <v>74</v>
      </c>
      <c r="BA425" t="s">
        <v>74</v>
      </c>
      <c r="BB425">
        <v>251</v>
      </c>
      <c r="BC425">
        <v>265</v>
      </c>
      <c r="BD425" t="s">
        <v>74</v>
      </c>
      <c r="BE425" t="s">
        <v>4454</v>
      </c>
      <c r="BF425" t="str">
        <f>HYPERLINK("http://dx.doi.org/10.1007/s10584-007-9391-8","http://dx.doi.org/10.1007/s10584-007-9391-8")</f>
        <v>http://dx.doi.org/10.1007/s10584-007-9391-8</v>
      </c>
      <c r="BG425" t="s">
        <v>74</v>
      </c>
      <c r="BH425" t="s">
        <v>74</v>
      </c>
      <c r="BI425">
        <v>15</v>
      </c>
      <c r="BJ425" t="s">
        <v>4455</v>
      </c>
      <c r="BK425" t="s">
        <v>419</v>
      </c>
      <c r="BL425" t="s">
        <v>4456</v>
      </c>
      <c r="BM425" t="s">
        <v>4457</v>
      </c>
      <c r="BN425" t="s">
        <v>74</v>
      </c>
      <c r="BO425" t="s">
        <v>74</v>
      </c>
      <c r="BP425" t="s">
        <v>74</v>
      </c>
      <c r="BQ425" t="s">
        <v>74</v>
      </c>
      <c r="BR425" t="s">
        <v>101</v>
      </c>
      <c r="BS425" t="s">
        <v>4458</v>
      </c>
      <c r="BT425" t="str">
        <f>HYPERLINK("https%3A%2F%2Fwww.webofscience.com%2Fwos%2Fwoscc%2Ffull-record%2FWOS:000256476100002","View Full Record in Web of Science")</f>
        <v>View Full Record in Web of Science</v>
      </c>
    </row>
    <row r="426" spans="1:72" x14ac:dyDescent="0.15">
      <c r="A426" t="s">
        <v>72</v>
      </c>
      <c r="B426" t="s">
        <v>4459</v>
      </c>
      <c r="C426" t="s">
        <v>74</v>
      </c>
      <c r="D426" t="s">
        <v>74</v>
      </c>
      <c r="E426" t="s">
        <v>74</v>
      </c>
      <c r="F426" t="s">
        <v>4460</v>
      </c>
      <c r="G426" t="s">
        <v>74</v>
      </c>
      <c r="H426" t="s">
        <v>74</v>
      </c>
      <c r="I426" t="s">
        <v>4461</v>
      </c>
      <c r="J426" t="s">
        <v>4462</v>
      </c>
      <c r="K426" t="s">
        <v>74</v>
      </c>
      <c r="L426" t="s">
        <v>74</v>
      </c>
      <c r="M426" t="s">
        <v>78</v>
      </c>
      <c r="N426" t="s">
        <v>3318</v>
      </c>
      <c r="O426" t="s">
        <v>4463</v>
      </c>
      <c r="P426" t="s">
        <v>4464</v>
      </c>
      <c r="Q426" t="s">
        <v>4465</v>
      </c>
      <c r="R426" t="s">
        <v>74</v>
      </c>
      <c r="S426" t="s">
        <v>74</v>
      </c>
      <c r="T426" t="s">
        <v>4466</v>
      </c>
      <c r="U426" t="s">
        <v>4467</v>
      </c>
      <c r="V426" t="s">
        <v>4468</v>
      </c>
      <c r="W426" t="s">
        <v>4469</v>
      </c>
      <c r="X426" t="s">
        <v>4470</v>
      </c>
      <c r="Y426" t="s">
        <v>4471</v>
      </c>
      <c r="Z426" t="s">
        <v>4472</v>
      </c>
      <c r="AA426" t="s">
        <v>74</v>
      </c>
      <c r="AB426" t="s">
        <v>4473</v>
      </c>
      <c r="AC426" t="s">
        <v>74</v>
      </c>
      <c r="AD426" t="s">
        <v>74</v>
      </c>
      <c r="AE426" t="s">
        <v>74</v>
      </c>
      <c r="AF426" t="s">
        <v>74</v>
      </c>
      <c r="AG426">
        <v>21</v>
      </c>
      <c r="AH426">
        <v>19</v>
      </c>
      <c r="AI426">
        <v>22</v>
      </c>
      <c r="AJ426">
        <v>0</v>
      </c>
      <c r="AK426">
        <v>14</v>
      </c>
      <c r="AL426" t="s">
        <v>3257</v>
      </c>
      <c r="AM426" t="s">
        <v>3258</v>
      </c>
      <c r="AN426" t="s">
        <v>3259</v>
      </c>
      <c r="AO426" t="s">
        <v>4474</v>
      </c>
      <c r="AP426" t="s">
        <v>74</v>
      </c>
      <c r="AQ426" t="s">
        <v>74</v>
      </c>
      <c r="AR426" t="s">
        <v>4475</v>
      </c>
      <c r="AS426" t="s">
        <v>4476</v>
      </c>
      <c r="AT426" t="s">
        <v>4117</v>
      </c>
      <c r="AU426">
        <v>2008</v>
      </c>
      <c r="AV426">
        <v>53</v>
      </c>
      <c r="AW426">
        <v>1</v>
      </c>
      <c r="AX426" t="s">
        <v>74</v>
      </c>
      <c r="AY426" t="s">
        <v>74</v>
      </c>
      <c r="AZ426" t="s">
        <v>4477</v>
      </c>
      <c r="BA426" t="s">
        <v>74</v>
      </c>
      <c r="BB426">
        <v>83</v>
      </c>
      <c r="BC426">
        <v>91</v>
      </c>
      <c r="BD426" t="s">
        <v>74</v>
      </c>
      <c r="BE426" t="s">
        <v>4478</v>
      </c>
      <c r="BF426" t="str">
        <f>HYPERLINK("http://dx.doi.org/10.1016/j.coldregions.2007.08.004","http://dx.doi.org/10.1016/j.coldregions.2007.08.004")</f>
        <v>http://dx.doi.org/10.1016/j.coldregions.2007.08.004</v>
      </c>
      <c r="BG426" t="s">
        <v>74</v>
      </c>
      <c r="BH426" t="s">
        <v>74</v>
      </c>
      <c r="BI426">
        <v>9</v>
      </c>
      <c r="BJ426" t="s">
        <v>4479</v>
      </c>
      <c r="BK426" t="s">
        <v>113</v>
      </c>
      <c r="BL426" t="s">
        <v>4480</v>
      </c>
      <c r="BM426" t="s">
        <v>4481</v>
      </c>
      <c r="BN426" t="s">
        <v>74</v>
      </c>
      <c r="BO426" t="s">
        <v>74</v>
      </c>
      <c r="BP426" t="s">
        <v>74</v>
      </c>
      <c r="BQ426" t="s">
        <v>74</v>
      </c>
      <c r="BR426" t="s">
        <v>101</v>
      </c>
      <c r="BS426" t="s">
        <v>4482</v>
      </c>
      <c r="BT426" t="str">
        <f>HYPERLINK("https%3A%2F%2Fwww.webofscience.com%2Fwos%2Fwoscc%2Ffull-record%2FWOS:000257411900007","View Full Record in Web of Science")</f>
        <v>View Full Record in Web of Science</v>
      </c>
    </row>
    <row r="427" spans="1:72" x14ac:dyDescent="0.15">
      <c r="A427" t="s">
        <v>72</v>
      </c>
      <c r="B427" t="s">
        <v>4483</v>
      </c>
      <c r="C427" t="s">
        <v>74</v>
      </c>
      <c r="D427" t="s">
        <v>74</v>
      </c>
      <c r="E427" t="s">
        <v>74</v>
      </c>
      <c r="F427" t="s">
        <v>4484</v>
      </c>
      <c r="G427" t="s">
        <v>74</v>
      </c>
      <c r="H427" t="s">
        <v>74</v>
      </c>
      <c r="I427" t="s">
        <v>4485</v>
      </c>
      <c r="J427" t="s">
        <v>4462</v>
      </c>
      <c r="K427" t="s">
        <v>74</v>
      </c>
      <c r="L427" t="s">
        <v>74</v>
      </c>
      <c r="M427" t="s">
        <v>78</v>
      </c>
      <c r="N427" t="s">
        <v>3318</v>
      </c>
      <c r="O427" t="s">
        <v>4463</v>
      </c>
      <c r="P427" t="s">
        <v>4464</v>
      </c>
      <c r="Q427" t="s">
        <v>4465</v>
      </c>
      <c r="R427" t="s">
        <v>74</v>
      </c>
      <c r="S427" t="s">
        <v>74</v>
      </c>
      <c r="T427" t="s">
        <v>4486</v>
      </c>
      <c r="U427" t="s">
        <v>74</v>
      </c>
      <c r="V427" t="s">
        <v>4487</v>
      </c>
      <c r="W427" t="s">
        <v>4488</v>
      </c>
      <c r="X427" t="s">
        <v>74</v>
      </c>
      <c r="Y427" t="s">
        <v>4489</v>
      </c>
      <c r="Z427" t="s">
        <v>4490</v>
      </c>
      <c r="AA427" t="s">
        <v>74</v>
      </c>
      <c r="AB427" t="s">
        <v>74</v>
      </c>
      <c r="AC427" t="s">
        <v>74</v>
      </c>
      <c r="AD427" t="s">
        <v>74</v>
      </c>
      <c r="AE427" t="s">
        <v>74</v>
      </c>
      <c r="AF427" t="s">
        <v>74</v>
      </c>
      <c r="AG427">
        <v>6</v>
      </c>
      <c r="AH427">
        <v>2</v>
      </c>
      <c r="AI427">
        <v>2</v>
      </c>
      <c r="AJ427">
        <v>0</v>
      </c>
      <c r="AK427">
        <v>3</v>
      </c>
      <c r="AL427" t="s">
        <v>3257</v>
      </c>
      <c r="AM427" t="s">
        <v>3258</v>
      </c>
      <c r="AN427" t="s">
        <v>3259</v>
      </c>
      <c r="AO427" t="s">
        <v>4474</v>
      </c>
      <c r="AP427" t="s">
        <v>74</v>
      </c>
      <c r="AQ427" t="s">
        <v>74</v>
      </c>
      <c r="AR427" t="s">
        <v>4475</v>
      </c>
      <c r="AS427" t="s">
        <v>4476</v>
      </c>
      <c r="AT427" t="s">
        <v>4117</v>
      </c>
      <c r="AU427">
        <v>2008</v>
      </c>
      <c r="AV427">
        <v>53</v>
      </c>
      <c r="AW427">
        <v>1</v>
      </c>
      <c r="AX427" t="s">
        <v>74</v>
      </c>
      <c r="AY427" t="s">
        <v>74</v>
      </c>
      <c r="AZ427" t="s">
        <v>4477</v>
      </c>
      <c r="BA427" t="s">
        <v>74</v>
      </c>
      <c r="BB427">
        <v>92</v>
      </c>
      <c r="BC427">
        <v>101</v>
      </c>
      <c r="BD427" t="s">
        <v>74</v>
      </c>
      <c r="BE427" t="s">
        <v>4491</v>
      </c>
      <c r="BF427" t="str">
        <f>HYPERLINK("http://dx.doi.org/10.1016/j.coldregions.2007.06.001","http://dx.doi.org/10.1016/j.coldregions.2007.06.001")</f>
        <v>http://dx.doi.org/10.1016/j.coldregions.2007.06.001</v>
      </c>
      <c r="BG427" t="s">
        <v>74</v>
      </c>
      <c r="BH427" t="s">
        <v>74</v>
      </c>
      <c r="BI427">
        <v>10</v>
      </c>
      <c r="BJ427" t="s">
        <v>4479</v>
      </c>
      <c r="BK427" t="s">
        <v>113</v>
      </c>
      <c r="BL427" t="s">
        <v>4480</v>
      </c>
      <c r="BM427" t="s">
        <v>4481</v>
      </c>
      <c r="BN427" t="s">
        <v>74</v>
      </c>
      <c r="BO427" t="s">
        <v>74</v>
      </c>
      <c r="BP427" t="s">
        <v>74</v>
      </c>
      <c r="BQ427" t="s">
        <v>74</v>
      </c>
      <c r="BR427" t="s">
        <v>101</v>
      </c>
      <c r="BS427" t="s">
        <v>4492</v>
      </c>
      <c r="BT427" t="str">
        <f>HYPERLINK("https%3A%2F%2Fwww.webofscience.com%2Fwos%2Fwoscc%2Ffull-record%2FWOS:000257411900008","View Full Record in Web of Science")</f>
        <v>View Full Record in Web of Science</v>
      </c>
    </row>
    <row r="428" spans="1:72" x14ac:dyDescent="0.15">
      <c r="A428" t="s">
        <v>72</v>
      </c>
      <c r="B428" t="s">
        <v>4493</v>
      </c>
      <c r="C428" t="s">
        <v>74</v>
      </c>
      <c r="D428" t="s">
        <v>74</v>
      </c>
      <c r="E428" t="s">
        <v>74</v>
      </c>
      <c r="F428" t="s">
        <v>4494</v>
      </c>
      <c r="G428" t="s">
        <v>74</v>
      </c>
      <c r="H428" t="s">
        <v>74</v>
      </c>
      <c r="I428" t="s">
        <v>4495</v>
      </c>
      <c r="J428" t="s">
        <v>4462</v>
      </c>
      <c r="K428" t="s">
        <v>74</v>
      </c>
      <c r="L428" t="s">
        <v>74</v>
      </c>
      <c r="M428" t="s">
        <v>78</v>
      </c>
      <c r="N428" t="s">
        <v>3318</v>
      </c>
      <c r="O428" t="s">
        <v>4463</v>
      </c>
      <c r="P428" t="s">
        <v>4464</v>
      </c>
      <c r="Q428" t="s">
        <v>4465</v>
      </c>
      <c r="R428" t="s">
        <v>74</v>
      </c>
      <c r="S428" t="s">
        <v>74</v>
      </c>
      <c r="T428" t="s">
        <v>4496</v>
      </c>
      <c r="U428" t="s">
        <v>4497</v>
      </c>
      <c r="V428" t="s">
        <v>4498</v>
      </c>
      <c r="W428" t="s">
        <v>4499</v>
      </c>
      <c r="X428" t="s">
        <v>4500</v>
      </c>
      <c r="Y428" t="s">
        <v>4501</v>
      </c>
      <c r="Z428" t="s">
        <v>4502</v>
      </c>
      <c r="AA428" t="s">
        <v>4503</v>
      </c>
      <c r="AB428" t="s">
        <v>4504</v>
      </c>
      <c r="AC428" t="s">
        <v>74</v>
      </c>
      <c r="AD428" t="s">
        <v>74</v>
      </c>
      <c r="AE428" t="s">
        <v>74</v>
      </c>
      <c r="AF428" t="s">
        <v>74</v>
      </c>
      <c r="AG428">
        <v>59</v>
      </c>
      <c r="AH428">
        <v>11</v>
      </c>
      <c r="AI428">
        <v>14</v>
      </c>
      <c r="AJ428">
        <v>0</v>
      </c>
      <c r="AK428">
        <v>25</v>
      </c>
      <c r="AL428" t="s">
        <v>3257</v>
      </c>
      <c r="AM428" t="s">
        <v>3258</v>
      </c>
      <c r="AN428" t="s">
        <v>3259</v>
      </c>
      <c r="AO428" t="s">
        <v>4474</v>
      </c>
      <c r="AP428" t="s">
        <v>74</v>
      </c>
      <c r="AQ428" t="s">
        <v>74</v>
      </c>
      <c r="AR428" t="s">
        <v>4475</v>
      </c>
      <c r="AS428" t="s">
        <v>4476</v>
      </c>
      <c r="AT428" t="s">
        <v>4117</v>
      </c>
      <c r="AU428">
        <v>2008</v>
      </c>
      <c r="AV428">
        <v>53</v>
      </c>
      <c r="AW428">
        <v>1</v>
      </c>
      <c r="AX428" t="s">
        <v>74</v>
      </c>
      <c r="AY428" t="s">
        <v>74</v>
      </c>
      <c r="AZ428" t="s">
        <v>4477</v>
      </c>
      <c r="BA428" t="s">
        <v>74</v>
      </c>
      <c r="BB428">
        <v>115</v>
      </c>
      <c r="BC428">
        <v>129</v>
      </c>
      <c r="BD428" t="s">
        <v>74</v>
      </c>
      <c r="BE428" t="s">
        <v>4505</v>
      </c>
      <c r="BF428" t="str">
        <f>HYPERLINK("http://dx.doi.org/10.1016/j.coldregions.2007.04.006","http://dx.doi.org/10.1016/j.coldregions.2007.04.006")</f>
        <v>http://dx.doi.org/10.1016/j.coldregions.2007.04.006</v>
      </c>
      <c r="BG428" t="s">
        <v>74</v>
      </c>
      <c r="BH428" t="s">
        <v>74</v>
      </c>
      <c r="BI428">
        <v>15</v>
      </c>
      <c r="BJ428" t="s">
        <v>4479</v>
      </c>
      <c r="BK428" t="s">
        <v>113</v>
      </c>
      <c r="BL428" t="s">
        <v>4480</v>
      </c>
      <c r="BM428" t="s">
        <v>4481</v>
      </c>
      <c r="BN428" t="s">
        <v>74</v>
      </c>
      <c r="BO428" t="s">
        <v>74</v>
      </c>
      <c r="BP428" t="s">
        <v>74</v>
      </c>
      <c r="BQ428" t="s">
        <v>74</v>
      </c>
      <c r="BR428" t="s">
        <v>101</v>
      </c>
      <c r="BS428" t="s">
        <v>4506</v>
      </c>
      <c r="BT428" t="str">
        <f>HYPERLINK("https%3A%2F%2Fwww.webofscience.com%2Fwos%2Fwoscc%2Ffull-record%2FWOS:000257411900010","View Full Record in Web of Science")</f>
        <v>View Full Record in Web of Science</v>
      </c>
    </row>
    <row r="429" spans="1:72" x14ac:dyDescent="0.15">
      <c r="A429" t="s">
        <v>72</v>
      </c>
      <c r="B429" t="s">
        <v>4507</v>
      </c>
      <c r="C429" t="s">
        <v>74</v>
      </c>
      <c r="D429" t="s">
        <v>74</v>
      </c>
      <c r="E429" t="s">
        <v>74</v>
      </c>
      <c r="F429" t="s">
        <v>4508</v>
      </c>
      <c r="G429" t="s">
        <v>74</v>
      </c>
      <c r="H429" t="s">
        <v>74</v>
      </c>
      <c r="I429" t="s">
        <v>4509</v>
      </c>
      <c r="J429" t="s">
        <v>4510</v>
      </c>
      <c r="K429" t="s">
        <v>74</v>
      </c>
      <c r="L429" t="s">
        <v>74</v>
      </c>
      <c r="M429" t="s">
        <v>78</v>
      </c>
      <c r="N429" t="s">
        <v>2737</v>
      </c>
      <c r="O429" t="s">
        <v>74</v>
      </c>
      <c r="P429" t="s">
        <v>74</v>
      </c>
      <c r="Q429" t="s">
        <v>74</v>
      </c>
      <c r="R429" t="s">
        <v>74</v>
      </c>
      <c r="S429" t="s">
        <v>74</v>
      </c>
      <c r="T429" t="s">
        <v>4511</v>
      </c>
      <c r="U429" t="s">
        <v>4512</v>
      </c>
      <c r="V429" t="s">
        <v>4513</v>
      </c>
      <c r="W429" t="s">
        <v>4514</v>
      </c>
      <c r="X429" t="s">
        <v>4515</v>
      </c>
      <c r="Y429" t="s">
        <v>4516</v>
      </c>
      <c r="Z429" t="s">
        <v>4517</v>
      </c>
      <c r="AA429" t="s">
        <v>4518</v>
      </c>
      <c r="AB429" t="s">
        <v>4519</v>
      </c>
      <c r="AC429" t="s">
        <v>74</v>
      </c>
      <c r="AD429" t="s">
        <v>74</v>
      </c>
      <c r="AE429" t="s">
        <v>74</v>
      </c>
      <c r="AF429" t="s">
        <v>74</v>
      </c>
      <c r="AG429">
        <v>73</v>
      </c>
      <c r="AH429">
        <v>18</v>
      </c>
      <c r="AI429">
        <v>22</v>
      </c>
      <c r="AJ429">
        <v>0</v>
      </c>
      <c r="AK429">
        <v>12</v>
      </c>
      <c r="AL429" t="s">
        <v>3979</v>
      </c>
      <c r="AM429" t="s">
        <v>2747</v>
      </c>
      <c r="AN429" t="s">
        <v>4520</v>
      </c>
      <c r="AO429" t="s">
        <v>4521</v>
      </c>
      <c r="AP429" t="s">
        <v>4522</v>
      </c>
      <c r="AQ429" t="s">
        <v>74</v>
      </c>
      <c r="AR429" t="s">
        <v>4523</v>
      </c>
      <c r="AS429" t="s">
        <v>4524</v>
      </c>
      <c r="AT429" t="s">
        <v>4117</v>
      </c>
      <c r="AU429">
        <v>2008</v>
      </c>
      <c r="AV429">
        <v>3</v>
      </c>
      <c r="AW429">
        <v>2</v>
      </c>
      <c r="AX429" t="s">
        <v>74</v>
      </c>
      <c r="AY429" t="s">
        <v>74</v>
      </c>
      <c r="AZ429" t="s">
        <v>74</v>
      </c>
      <c r="BA429" t="s">
        <v>74</v>
      </c>
      <c r="BB429">
        <v>155</v>
      </c>
      <c r="BC429">
        <v>171</v>
      </c>
      <c r="BD429" t="s">
        <v>74</v>
      </c>
      <c r="BE429" t="s">
        <v>4525</v>
      </c>
      <c r="BF429" t="str">
        <f>HYPERLINK("http://dx.doi.org/10.1016/j.cbd.2008.02.002","http://dx.doi.org/10.1016/j.cbd.2008.02.002")</f>
        <v>http://dx.doi.org/10.1016/j.cbd.2008.02.002</v>
      </c>
      <c r="BG429" t="s">
        <v>74</v>
      </c>
      <c r="BH429" t="s">
        <v>74</v>
      </c>
      <c r="BI429">
        <v>17</v>
      </c>
      <c r="BJ429" t="s">
        <v>4526</v>
      </c>
      <c r="BK429" t="s">
        <v>419</v>
      </c>
      <c r="BL429" t="s">
        <v>4526</v>
      </c>
      <c r="BM429" t="s">
        <v>4527</v>
      </c>
      <c r="BN429">
        <v>20483216</v>
      </c>
      <c r="BO429" t="s">
        <v>74</v>
      </c>
      <c r="BP429" t="s">
        <v>74</v>
      </c>
      <c r="BQ429" t="s">
        <v>74</v>
      </c>
      <c r="BR429" t="s">
        <v>101</v>
      </c>
      <c r="BS429" t="s">
        <v>4528</v>
      </c>
      <c r="BT429" t="str">
        <f>HYPERLINK("https%3A%2F%2Fwww.webofscience.com%2Fwos%2Fwoscc%2Ffull-record%2FWOS:000257045300002","View Full Record in Web of Science")</f>
        <v>View Full Record in Web of Science</v>
      </c>
    </row>
    <row r="430" spans="1:72" x14ac:dyDescent="0.15">
      <c r="A430" t="s">
        <v>72</v>
      </c>
      <c r="B430" t="s">
        <v>4529</v>
      </c>
      <c r="C430" t="s">
        <v>74</v>
      </c>
      <c r="D430" t="s">
        <v>74</v>
      </c>
      <c r="E430" t="s">
        <v>74</v>
      </c>
      <c r="F430" t="s">
        <v>4530</v>
      </c>
      <c r="G430" t="s">
        <v>74</v>
      </c>
      <c r="H430" t="s">
        <v>74</v>
      </c>
      <c r="I430" t="s">
        <v>4531</v>
      </c>
      <c r="J430" t="s">
        <v>4532</v>
      </c>
      <c r="K430" t="s">
        <v>74</v>
      </c>
      <c r="L430" t="s">
        <v>74</v>
      </c>
      <c r="M430" t="s">
        <v>78</v>
      </c>
      <c r="N430" t="s">
        <v>2737</v>
      </c>
      <c r="O430" t="s">
        <v>74</v>
      </c>
      <c r="P430" t="s">
        <v>74</v>
      </c>
      <c r="Q430" t="s">
        <v>74</v>
      </c>
      <c r="R430" t="s">
        <v>74</v>
      </c>
      <c r="S430" t="s">
        <v>74</v>
      </c>
      <c r="T430" t="s">
        <v>4533</v>
      </c>
      <c r="U430" t="s">
        <v>4534</v>
      </c>
      <c r="V430" t="s">
        <v>4535</v>
      </c>
      <c r="W430" t="s">
        <v>4536</v>
      </c>
      <c r="X430" t="s">
        <v>4537</v>
      </c>
      <c r="Y430" t="s">
        <v>4538</v>
      </c>
      <c r="Z430" t="s">
        <v>4539</v>
      </c>
      <c r="AA430" t="s">
        <v>74</v>
      </c>
      <c r="AB430" t="s">
        <v>74</v>
      </c>
      <c r="AC430" t="s">
        <v>74</v>
      </c>
      <c r="AD430" t="s">
        <v>74</v>
      </c>
      <c r="AE430" t="s">
        <v>74</v>
      </c>
      <c r="AF430" t="s">
        <v>74</v>
      </c>
      <c r="AG430">
        <v>26</v>
      </c>
      <c r="AH430">
        <v>6</v>
      </c>
      <c r="AI430">
        <v>9</v>
      </c>
      <c r="AJ430">
        <v>0</v>
      </c>
      <c r="AK430">
        <v>19</v>
      </c>
      <c r="AL430" t="s">
        <v>3007</v>
      </c>
      <c r="AM430" t="s">
        <v>3008</v>
      </c>
      <c r="AN430" t="s">
        <v>3009</v>
      </c>
      <c r="AO430" t="s">
        <v>4540</v>
      </c>
      <c r="AP430" t="s">
        <v>74</v>
      </c>
      <c r="AQ430" t="s">
        <v>74</v>
      </c>
      <c r="AR430" t="s">
        <v>4541</v>
      </c>
      <c r="AS430" t="s">
        <v>4542</v>
      </c>
      <c r="AT430" t="s">
        <v>4117</v>
      </c>
      <c r="AU430">
        <v>2008</v>
      </c>
      <c r="AV430">
        <v>55</v>
      </c>
      <c r="AW430">
        <v>6</v>
      </c>
      <c r="AX430" t="s">
        <v>74</v>
      </c>
      <c r="AY430" t="s">
        <v>74</v>
      </c>
      <c r="AZ430" t="s">
        <v>74</v>
      </c>
      <c r="BA430" t="s">
        <v>74</v>
      </c>
      <c r="BB430">
        <v>766</v>
      </c>
      <c r="BC430">
        <v>776</v>
      </c>
      <c r="BD430" t="s">
        <v>74</v>
      </c>
      <c r="BE430" t="s">
        <v>4543</v>
      </c>
      <c r="BF430" t="str">
        <f>HYPERLINK("http://dx.doi.org/10.1016/j.dsr.2008.03.004","http://dx.doi.org/10.1016/j.dsr.2008.03.004")</f>
        <v>http://dx.doi.org/10.1016/j.dsr.2008.03.004</v>
      </c>
      <c r="BG430" t="s">
        <v>74</v>
      </c>
      <c r="BH430" t="s">
        <v>74</v>
      </c>
      <c r="BI430">
        <v>11</v>
      </c>
      <c r="BJ430" t="s">
        <v>3447</v>
      </c>
      <c r="BK430" t="s">
        <v>419</v>
      </c>
      <c r="BL430" t="s">
        <v>3447</v>
      </c>
      <c r="BM430" t="s">
        <v>4544</v>
      </c>
      <c r="BN430" t="s">
        <v>74</v>
      </c>
      <c r="BO430" t="s">
        <v>74</v>
      </c>
      <c r="BP430" t="s">
        <v>74</v>
      </c>
      <c r="BQ430" t="s">
        <v>74</v>
      </c>
      <c r="BR430" t="s">
        <v>101</v>
      </c>
      <c r="BS430" t="s">
        <v>4545</v>
      </c>
      <c r="BT430" t="str">
        <f>HYPERLINK("https%3A%2F%2Fwww.webofscience.com%2Fwos%2Fwoscc%2Ffull-record%2FWOS:000257253000004","View Full Record in Web of Science")</f>
        <v>View Full Record in Web of Science</v>
      </c>
    </row>
    <row r="431" spans="1:72" x14ac:dyDescent="0.15">
      <c r="A431" t="s">
        <v>72</v>
      </c>
      <c r="B431" t="s">
        <v>4546</v>
      </c>
      <c r="C431" t="s">
        <v>74</v>
      </c>
      <c r="D431" t="s">
        <v>74</v>
      </c>
      <c r="E431" t="s">
        <v>74</v>
      </c>
      <c r="F431" t="s">
        <v>4547</v>
      </c>
      <c r="G431" t="s">
        <v>74</v>
      </c>
      <c r="H431" t="s">
        <v>74</v>
      </c>
      <c r="I431" t="s">
        <v>4548</v>
      </c>
      <c r="J431" t="s">
        <v>4549</v>
      </c>
      <c r="K431" t="s">
        <v>74</v>
      </c>
      <c r="L431" t="s">
        <v>74</v>
      </c>
      <c r="M431" t="s">
        <v>78</v>
      </c>
      <c r="N431" t="s">
        <v>3318</v>
      </c>
      <c r="O431" t="s">
        <v>4550</v>
      </c>
      <c r="P431" t="s">
        <v>4551</v>
      </c>
      <c r="Q431" t="s">
        <v>4552</v>
      </c>
      <c r="R431" t="s">
        <v>74</v>
      </c>
      <c r="S431" t="s">
        <v>4553</v>
      </c>
      <c r="T431" t="s">
        <v>4554</v>
      </c>
      <c r="U431" t="s">
        <v>74</v>
      </c>
      <c r="V431" t="s">
        <v>4555</v>
      </c>
      <c r="W431" t="s">
        <v>4556</v>
      </c>
      <c r="X431" t="s">
        <v>4557</v>
      </c>
      <c r="Y431" t="s">
        <v>4558</v>
      </c>
      <c r="Z431" t="s">
        <v>4559</v>
      </c>
      <c r="AA431" t="s">
        <v>74</v>
      </c>
      <c r="AB431" t="s">
        <v>74</v>
      </c>
      <c r="AC431" t="s">
        <v>74</v>
      </c>
      <c r="AD431" t="s">
        <v>74</v>
      </c>
      <c r="AE431" t="s">
        <v>74</v>
      </c>
      <c r="AF431" t="s">
        <v>74</v>
      </c>
      <c r="AG431">
        <v>14</v>
      </c>
      <c r="AH431">
        <v>8</v>
      </c>
      <c r="AI431">
        <v>9</v>
      </c>
      <c r="AJ431">
        <v>0</v>
      </c>
      <c r="AK431">
        <v>5</v>
      </c>
      <c r="AL431" t="s">
        <v>2746</v>
      </c>
      <c r="AM431" t="s">
        <v>2793</v>
      </c>
      <c r="AN431" t="s">
        <v>2794</v>
      </c>
      <c r="AO431" t="s">
        <v>4560</v>
      </c>
      <c r="AP431" t="s">
        <v>4561</v>
      </c>
      <c r="AQ431" t="s">
        <v>74</v>
      </c>
      <c r="AR431" t="s">
        <v>4562</v>
      </c>
      <c r="AS431" t="s">
        <v>4563</v>
      </c>
      <c r="AT431" t="s">
        <v>4117</v>
      </c>
      <c r="AU431">
        <v>2008</v>
      </c>
      <c r="AV431">
        <v>102</v>
      </c>
      <c r="AW431" t="s">
        <v>4564</v>
      </c>
      <c r="AX431" t="s">
        <v>74</v>
      </c>
      <c r="AY431" t="s">
        <v>74</v>
      </c>
      <c r="AZ431" t="s">
        <v>74</v>
      </c>
      <c r="BA431" t="s">
        <v>74</v>
      </c>
      <c r="BB431">
        <v>345</v>
      </c>
      <c r="BC431">
        <v>356</v>
      </c>
      <c r="BD431" t="s">
        <v>74</v>
      </c>
      <c r="BE431" t="s">
        <v>4565</v>
      </c>
      <c r="BF431" t="str">
        <f>HYPERLINK("http://dx.doi.org/10.1007/s11038-007-9181-3","http://dx.doi.org/10.1007/s11038-007-9181-3")</f>
        <v>http://dx.doi.org/10.1007/s11038-007-9181-3</v>
      </c>
      <c r="BG431" t="s">
        <v>74</v>
      </c>
      <c r="BH431" t="s">
        <v>74</v>
      </c>
      <c r="BI431">
        <v>12</v>
      </c>
      <c r="BJ431" t="s">
        <v>4566</v>
      </c>
      <c r="BK431" t="s">
        <v>99</v>
      </c>
      <c r="BL431" t="s">
        <v>4567</v>
      </c>
      <c r="BM431" t="s">
        <v>4568</v>
      </c>
      <c r="BN431" t="s">
        <v>74</v>
      </c>
      <c r="BO431" t="s">
        <v>74</v>
      </c>
      <c r="BP431" t="s">
        <v>74</v>
      </c>
      <c r="BQ431" t="s">
        <v>74</v>
      </c>
      <c r="BR431" t="s">
        <v>101</v>
      </c>
      <c r="BS431" t="s">
        <v>4569</v>
      </c>
      <c r="BT431" t="str">
        <f>HYPERLINK("https%3A%2F%2Fwww.webofscience.com%2Fwos%2Fwoscc%2Ffull-record%2FWOS:000254258900049","View Full Record in Web of Science")</f>
        <v>View Full Record in Web of Science</v>
      </c>
    </row>
    <row r="432" spans="1:72" x14ac:dyDescent="0.15">
      <c r="A432" t="s">
        <v>72</v>
      </c>
      <c r="B432" t="s">
        <v>4570</v>
      </c>
      <c r="C432" t="s">
        <v>74</v>
      </c>
      <c r="D432" t="s">
        <v>74</v>
      </c>
      <c r="E432" t="s">
        <v>74</v>
      </c>
      <c r="F432" t="s">
        <v>4571</v>
      </c>
      <c r="G432" t="s">
        <v>74</v>
      </c>
      <c r="H432" t="s">
        <v>74</v>
      </c>
      <c r="I432" t="s">
        <v>4572</v>
      </c>
      <c r="J432" t="s">
        <v>4549</v>
      </c>
      <c r="K432" t="s">
        <v>74</v>
      </c>
      <c r="L432" t="s">
        <v>74</v>
      </c>
      <c r="M432" t="s">
        <v>78</v>
      </c>
      <c r="N432" t="s">
        <v>3318</v>
      </c>
      <c r="O432" t="s">
        <v>4550</v>
      </c>
      <c r="P432" t="s">
        <v>4551</v>
      </c>
      <c r="Q432" t="s">
        <v>4552</v>
      </c>
      <c r="R432" t="s">
        <v>74</v>
      </c>
      <c r="S432" t="s">
        <v>4553</v>
      </c>
      <c r="T432" t="s">
        <v>4573</v>
      </c>
      <c r="U432" t="s">
        <v>4574</v>
      </c>
      <c r="V432" t="s">
        <v>4575</v>
      </c>
      <c r="W432" t="s">
        <v>4576</v>
      </c>
      <c r="X432" t="s">
        <v>4577</v>
      </c>
      <c r="Y432" t="s">
        <v>4578</v>
      </c>
      <c r="Z432" t="s">
        <v>480</v>
      </c>
      <c r="AA432" t="s">
        <v>74</v>
      </c>
      <c r="AB432" t="s">
        <v>74</v>
      </c>
      <c r="AC432" t="s">
        <v>74</v>
      </c>
      <c r="AD432" t="s">
        <v>74</v>
      </c>
      <c r="AE432" t="s">
        <v>74</v>
      </c>
      <c r="AF432" t="s">
        <v>74</v>
      </c>
      <c r="AG432">
        <v>37</v>
      </c>
      <c r="AH432">
        <v>29</v>
      </c>
      <c r="AI432">
        <v>31</v>
      </c>
      <c r="AJ432">
        <v>2</v>
      </c>
      <c r="AK432">
        <v>17</v>
      </c>
      <c r="AL432" t="s">
        <v>2746</v>
      </c>
      <c r="AM432" t="s">
        <v>2793</v>
      </c>
      <c r="AN432" t="s">
        <v>2794</v>
      </c>
      <c r="AO432" t="s">
        <v>4560</v>
      </c>
      <c r="AP432" t="s">
        <v>4561</v>
      </c>
      <c r="AQ432" t="s">
        <v>74</v>
      </c>
      <c r="AR432" t="s">
        <v>4562</v>
      </c>
      <c r="AS432" t="s">
        <v>4563</v>
      </c>
      <c r="AT432" t="s">
        <v>4117</v>
      </c>
      <c r="AU432">
        <v>2008</v>
      </c>
      <c r="AV432">
        <v>102</v>
      </c>
      <c r="AW432" t="s">
        <v>4564</v>
      </c>
      <c r="AX432" t="s">
        <v>74</v>
      </c>
      <c r="AY432" t="s">
        <v>74</v>
      </c>
      <c r="AZ432" t="s">
        <v>74</v>
      </c>
      <c r="BA432" t="s">
        <v>74</v>
      </c>
      <c r="BB432">
        <v>525</v>
      </c>
      <c r="BC432">
        <v>535</v>
      </c>
      <c r="BD432" t="s">
        <v>74</v>
      </c>
      <c r="BE432" t="s">
        <v>4579</v>
      </c>
      <c r="BF432" t="str">
        <f>HYPERLINK("http://dx.doi.org/10.1007/s11038-007-9185-z","http://dx.doi.org/10.1007/s11038-007-9185-z")</f>
        <v>http://dx.doi.org/10.1007/s11038-007-9185-z</v>
      </c>
      <c r="BG432" t="s">
        <v>74</v>
      </c>
      <c r="BH432" t="s">
        <v>74</v>
      </c>
      <c r="BI432">
        <v>11</v>
      </c>
      <c r="BJ432" t="s">
        <v>4566</v>
      </c>
      <c r="BK432" t="s">
        <v>99</v>
      </c>
      <c r="BL432" t="s">
        <v>4567</v>
      </c>
      <c r="BM432" t="s">
        <v>4568</v>
      </c>
      <c r="BN432" t="s">
        <v>74</v>
      </c>
      <c r="BO432" t="s">
        <v>74</v>
      </c>
      <c r="BP432" t="s">
        <v>74</v>
      </c>
      <c r="BQ432" t="s">
        <v>74</v>
      </c>
      <c r="BR432" t="s">
        <v>101</v>
      </c>
      <c r="BS432" t="s">
        <v>4580</v>
      </c>
      <c r="BT432" t="str">
        <f>HYPERLINK("https%3A%2F%2Fwww.webofscience.com%2Fwos%2Fwoscc%2Ffull-record%2FWOS:000254258900068","View Full Record in Web of Science")</f>
        <v>View Full Record in Web of Science</v>
      </c>
    </row>
    <row r="433" spans="1:72" x14ac:dyDescent="0.15">
      <c r="A433" t="s">
        <v>72</v>
      </c>
      <c r="B433" t="s">
        <v>4581</v>
      </c>
      <c r="C433" t="s">
        <v>74</v>
      </c>
      <c r="D433" t="s">
        <v>74</v>
      </c>
      <c r="E433" t="s">
        <v>74</v>
      </c>
      <c r="F433" t="s">
        <v>4582</v>
      </c>
      <c r="G433" t="s">
        <v>74</v>
      </c>
      <c r="H433" t="s">
        <v>74</v>
      </c>
      <c r="I433" t="s">
        <v>4583</v>
      </c>
      <c r="J433" t="s">
        <v>4584</v>
      </c>
      <c r="K433" t="s">
        <v>74</v>
      </c>
      <c r="L433" t="s">
        <v>74</v>
      </c>
      <c r="M433" t="s">
        <v>78</v>
      </c>
      <c r="N433" t="s">
        <v>2958</v>
      </c>
      <c r="O433" t="s">
        <v>74</v>
      </c>
      <c r="P433" t="s">
        <v>74</v>
      </c>
      <c r="Q433" t="s">
        <v>74</v>
      </c>
      <c r="R433" t="s">
        <v>74</v>
      </c>
      <c r="S433" t="s">
        <v>74</v>
      </c>
      <c r="T433" t="s">
        <v>74</v>
      </c>
      <c r="U433" t="s">
        <v>4585</v>
      </c>
      <c r="V433" t="s">
        <v>4586</v>
      </c>
      <c r="W433" t="s">
        <v>4587</v>
      </c>
      <c r="X433" t="s">
        <v>2786</v>
      </c>
      <c r="Y433" t="s">
        <v>4588</v>
      </c>
      <c r="Z433" t="s">
        <v>4589</v>
      </c>
      <c r="AA433" t="s">
        <v>4214</v>
      </c>
      <c r="AB433" t="s">
        <v>4590</v>
      </c>
      <c r="AC433" t="s">
        <v>4591</v>
      </c>
      <c r="AD433" t="s">
        <v>3031</v>
      </c>
      <c r="AE433" t="s">
        <v>74</v>
      </c>
      <c r="AF433" t="s">
        <v>74</v>
      </c>
      <c r="AG433">
        <v>133</v>
      </c>
      <c r="AH433">
        <v>65</v>
      </c>
      <c r="AI433">
        <v>71</v>
      </c>
      <c r="AJ433">
        <v>0</v>
      </c>
      <c r="AK433">
        <v>60</v>
      </c>
      <c r="AL433" t="s">
        <v>88</v>
      </c>
      <c r="AM433" t="s">
        <v>89</v>
      </c>
      <c r="AN433" t="s">
        <v>90</v>
      </c>
      <c r="AO433" t="s">
        <v>4592</v>
      </c>
      <c r="AP433" t="s">
        <v>4593</v>
      </c>
      <c r="AQ433" t="s">
        <v>74</v>
      </c>
      <c r="AR433" t="s">
        <v>4584</v>
      </c>
      <c r="AS433" t="s">
        <v>4594</v>
      </c>
      <c r="AT433" t="s">
        <v>4117</v>
      </c>
      <c r="AU433">
        <v>2008</v>
      </c>
      <c r="AV433">
        <v>31</v>
      </c>
      <c r="AW433">
        <v>3</v>
      </c>
      <c r="AX433" t="s">
        <v>74</v>
      </c>
      <c r="AY433" t="s">
        <v>74</v>
      </c>
      <c r="AZ433" t="s">
        <v>74</v>
      </c>
      <c r="BA433" t="s">
        <v>74</v>
      </c>
      <c r="BB433">
        <v>289</v>
      </c>
      <c r="BC433">
        <v>305</v>
      </c>
      <c r="BD433" t="s">
        <v>74</v>
      </c>
      <c r="BE433" t="s">
        <v>4595</v>
      </c>
      <c r="BF433" t="str">
        <f>HYPERLINK("http://dx.doi.org/10.1111/j.0906-7590.2008.05456.x","http://dx.doi.org/10.1111/j.0906-7590.2008.05456.x")</f>
        <v>http://dx.doi.org/10.1111/j.0906-7590.2008.05456.x</v>
      </c>
      <c r="BG433" t="s">
        <v>74</v>
      </c>
      <c r="BH433" t="s">
        <v>74</v>
      </c>
      <c r="BI433">
        <v>17</v>
      </c>
      <c r="BJ433" t="s">
        <v>2895</v>
      </c>
      <c r="BK433" t="s">
        <v>419</v>
      </c>
      <c r="BL433" t="s">
        <v>2896</v>
      </c>
      <c r="BM433" t="s">
        <v>4596</v>
      </c>
      <c r="BN433" t="s">
        <v>74</v>
      </c>
      <c r="BO433" t="s">
        <v>3290</v>
      </c>
      <c r="BP433" t="s">
        <v>74</v>
      </c>
      <c r="BQ433" t="s">
        <v>74</v>
      </c>
      <c r="BR433" t="s">
        <v>101</v>
      </c>
      <c r="BS433" t="s">
        <v>4597</v>
      </c>
      <c r="BT433" t="str">
        <f>HYPERLINK("https%3A%2F%2Fwww.webofscience.com%2Fwos%2Fwoscc%2Ffull-record%2FWOS:000256496300001","View Full Record in Web of Science")</f>
        <v>View Full Record in Web of Science</v>
      </c>
    </row>
    <row r="434" spans="1:72" x14ac:dyDescent="0.15">
      <c r="A434" t="s">
        <v>72</v>
      </c>
      <c r="B434" t="s">
        <v>4598</v>
      </c>
      <c r="C434" t="s">
        <v>74</v>
      </c>
      <c r="D434" t="s">
        <v>74</v>
      </c>
      <c r="E434" t="s">
        <v>74</v>
      </c>
      <c r="F434" t="s">
        <v>4599</v>
      </c>
      <c r="G434" t="s">
        <v>74</v>
      </c>
      <c r="H434" t="s">
        <v>74</v>
      </c>
      <c r="I434" t="s">
        <v>4600</v>
      </c>
      <c r="J434" t="s">
        <v>4601</v>
      </c>
      <c r="K434" t="s">
        <v>74</v>
      </c>
      <c r="L434" t="s">
        <v>74</v>
      </c>
      <c r="M434" t="s">
        <v>78</v>
      </c>
      <c r="N434" t="s">
        <v>2737</v>
      </c>
      <c r="O434" t="s">
        <v>74</v>
      </c>
      <c r="P434" t="s">
        <v>74</v>
      </c>
      <c r="Q434" t="s">
        <v>74</v>
      </c>
      <c r="R434" t="s">
        <v>74</v>
      </c>
      <c r="S434" t="s">
        <v>74</v>
      </c>
      <c r="T434" t="s">
        <v>4602</v>
      </c>
      <c r="U434" t="s">
        <v>74</v>
      </c>
      <c r="V434" t="s">
        <v>4603</v>
      </c>
      <c r="W434" t="s">
        <v>4604</v>
      </c>
      <c r="X434" t="s">
        <v>4605</v>
      </c>
      <c r="Y434" t="s">
        <v>4606</v>
      </c>
      <c r="Z434" t="s">
        <v>4607</v>
      </c>
      <c r="AA434" t="s">
        <v>74</v>
      </c>
      <c r="AB434" t="s">
        <v>4608</v>
      </c>
      <c r="AC434" t="s">
        <v>74</v>
      </c>
      <c r="AD434" t="s">
        <v>74</v>
      </c>
      <c r="AE434" t="s">
        <v>74</v>
      </c>
      <c r="AF434" t="s">
        <v>74</v>
      </c>
      <c r="AG434">
        <v>4</v>
      </c>
      <c r="AH434">
        <v>3</v>
      </c>
      <c r="AI434">
        <v>3</v>
      </c>
      <c r="AJ434">
        <v>0</v>
      </c>
      <c r="AK434">
        <v>4</v>
      </c>
      <c r="AL434" t="s">
        <v>4609</v>
      </c>
      <c r="AM434" t="s">
        <v>4610</v>
      </c>
      <c r="AN434" t="s">
        <v>4611</v>
      </c>
      <c r="AO434" t="s">
        <v>4612</v>
      </c>
      <c r="AP434" t="s">
        <v>74</v>
      </c>
      <c r="AQ434" t="s">
        <v>74</v>
      </c>
      <c r="AR434" t="s">
        <v>4601</v>
      </c>
      <c r="AS434" t="s">
        <v>4613</v>
      </c>
      <c r="AT434" t="s">
        <v>4117</v>
      </c>
      <c r="AU434">
        <v>2008</v>
      </c>
      <c r="AV434">
        <v>29</v>
      </c>
      <c r="AW434">
        <v>11</v>
      </c>
      <c r="AX434" t="s">
        <v>74</v>
      </c>
      <c r="AY434" t="s">
        <v>74</v>
      </c>
      <c r="AZ434" t="s">
        <v>74</v>
      </c>
      <c r="BA434" t="s">
        <v>74</v>
      </c>
      <c r="BB434">
        <v>2411</v>
      </c>
      <c r="BC434">
        <v>2412</v>
      </c>
      <c r="BD434" t="s">
        <v>74</v>
      </c>
      <c r="BE434" t="s">
        <v>4614</v>
      </c>
      <c r="BF434" t="str">
        <f>HYPERLINK("http://dx.doi.org/10.1002/elps.200700838","http://dx.doi.org/10.1002/elps.200700838")</f>
        <v>http://dx.doi.org/10.1002/elps.200700838</v>
      </c>
      <c r="BG434" t="s">
        <v>74</v>
      </c>
      <c r="BH434" t="s">
        <v>74</v>
      </c>
      <c r="BI434">
        <v>2</v>
      </c>
      <c r="BJ434" t="s">
        <v>4615</v>
      </c>
      <c r="BK434" t="s">
        <v>419</v>
      </c>
      <c r="BL434" t="s">
        <v>4616</v>
      </c>
      <c r="BM434" t="s">
        <v>4617</v>
      </c>
      <c r="BN434">
        <v>18548458</v>
      </c>
      <c r="BO434" t="s">
        <v>74</v>
      </c>
      <c r="BP434" t="s">
        <v>74</v>
      </c>
      <c r="BQ434" t="s">
        <v>74</v>
      </c>
      <c r="BR434" t="s">
        <v>101</v>
      </c>
      <c r="BS434" t="s">
        <v>4618</v>
      </c>
      <c r="BT434" t="str">
        <f>HYPERLINK("https%3A%2F%2Fwww.webofscience.com%2Fwos%2Fwoscc%2Ffull-record%2FWOS:000257011600021","View Full Record in Web of Science")</f>
        <v>View Full Record in Web of Science</v>
      </c>
    </row>
    <row r="435" spans="1:72" x14ac:dyDescent="0.15">
      <c r="A435" t="s">
        <v>72</v>
      </c>
      <c r="B435" t="s">
        <v>4619</v>
      </c>
      <c r="C435" t="s">
        <v>74</v>
      </c>
      <c r="D435" t="s">
        <v>74</v>
      </c>
      <c r="E435" t="s">
        <v>74</v>
      </c>
      <c r="F435" t="s">
        <v>4620</v>
      </c>
      <c r="G435" t="s">
        <v>74</v>
      </c>
      <c r="H435" t="s">
        <v>74</v>
      </c>
      <c r="I435" t="s">
        <v>4621</v>
      </c>
      <c r="J435" t="s">
        <v>4622</v>
      </c>
      <c r="K435" t="s">
        <v>74</v>
      </c>
      <c r="L435" t="s">
        <v>74</v>
      </c>
      <c r="M435" t="s">
        <v>78</v>
      </c>
      <c r="N435" t="s">
        <v>3116</v>
      </c>
      <c r="O435" t="s">
        <v>74</v>
      </c>
      <c r="P435" t="s">
        <v>74</v>
      </c>
      <c r="Q435" t="s">
        <v>74</v>
      </c>
      <c r="R435" t="s">
        <v>74</v>
      </c>
      <c r="S435" t="s">
        <v>74</v>
      </c>
      <c r="T435" t="s">
        <v>74</v>
      </c>
      <c r="U435" t="s">
        <v>74</v>
      </c>
      <c r="V435" t="s">
        <v>74</v>
      </c>
      <c r="W435" t="s">
        <v>74</v>
      </c>
      <c r="X435" t="s">
        <v>74</v>
      </c>
      <c r="Y435" t="s">
        <v>74</v>
      </c>
      <c r="Z435" t="s">
        <v>74</v>
      </c>
      <c r="AA435" t="s">
        <v>74</v>
      </c>
      <c r="AB435" t="s">
        <v>74</v>
      </c>
      <c r="AC435" t="s">
        <v>74</v>
      </c>
      <c r="AD435" t="s">
        <v>74</v>
      </c>
      <c r="AE435" t="s">
        <v>74</v>
      </c>
      <c r="AF435" t="s">
        <v>74</v>
      </c>
      <c r="AG435">
        <v>0</v>
      </c>
      <c r="AH435">
        <v>3</v>
      </c>
      <c r="AI435">
        <v>4</v>
      </c>
      <c r="AJ435">
        <v>1</v>
      </c>
      <c r="AK435">
        <v>9</v>
      </c>
      <c r="AL435" t="s">
        <v>4064</v>
      </c>
      <c r="AM435" t="s">
        <v>3281</v>
      </c>
      <c r="AN435" t="s">
        <v>4065</v>
      </c>
      <c r="AO435" t="s">
        <v>4623</v>
      </c>
      <c r="AP435" t="s">
        <v>74</v>
      </c>
      <c r="AQ435" t="s">
        <v>74</v>
      </c>
      <c r="AR435" t="s">
        <v>4624</v>
      </c>
      <c r="AS435" t="s">
        <v>4625</v>
      </c>
      <c r="AT435" t="s">
        <v>4626</v>
      </c>
      <c r="AU435">
        <v>2008</v>
      </c>
      <c r="AV435">
        <v>42</v>
      </c>
      <c r="AW435">
        <v>11</v>
      </c>
      <c r="AX435" t="s">
        <v>74</v>
      </c>
      <c r="AY435" t="s">
        <v>74</v>
      </c>
      <c r="AZ435" t="s">
        <v>74</v>
      </c>
      <c r="BA435" t="s">
        <v>74</v>
      </c>
      <c r="BB435">
        <v>3909</v>
      </c>
      <c r="BC435">
        <v>3909</v>
      </c>
      <c r="BD435" t="s">
        <v>74</v>
      </c>
      <c r="BE435" t="s">
        <v>4627</v>
      </c>
      <c r="BF435" t="str">
        <f>HYPERLINK("http://dx.doi.org/10.1021/es087118g","http://dx.doi.org/10.1021/es087118g")</f>
        <v>http://dx.doi.org/10.1021/es087118g</v>
      </c>
      <c r="BG435" t="s">
        <v>74</v>
      </c>
      <c r="BH435" t="s">
        <v>74</v>
      </c>
      <c r="BI435">
        <v>1</v>
      </c>
      <c r="BJ435" t="s">
        <v>4628</v>
      </c>
      <c r="BK435" t="s">
        <v>419</v>
      </c>
      <c r="BL435" t="s">
        <v>4629</v>
      </c>
      <c r="BM435" t="s">
        <v>4630</v>
      </c>
      <c r="BN435">
        <v>18589942</v>
      </c>
      <c r="BO435" t="s">
        <v>74</v>
      </c>
      <c r="BP435" t="s">
        <v>74</v>
      </c>
      <c r="BQ435" t="s">
        <v>74</v>
      </c>
      <c r="BR435" t="s">
        <v>101</v>
      </c>
      <c r="BS435" t="s">
        <v>4631</v>
      </c>
      <c r="BT435" t="str">
        <f>HYPERLINK("https%3A%2F%2Fwww.webofscience.com%2Fwos%2Fwoscc%2Ffull-record%2FWOS:000256274300003","View Full Record in Web of Science")</f>
        <v>View Full Record in Web of Science</v>
      </c>
    </row>
    <row r="436" spans="1:72" x14ac:dyDescent="0.15">
      <c r="A436" t="s">
        <v>72</v>
      </c>
      <c r="B436" t="s">
        <v>4632</v>
      </c>
      <c r="C436" t="s">
        <v>74</v>
      </c>
      <c r="D436" t="s">
        <v>74</v>
      </c>
      <c r="E436" t="s">
        <v>74</v>
      </c>
      <c r="F436" t="s">
        <v>4633</v>
      </c>
      <c r="G436" t="s">
        <v>74</v>
      </c>
      <c r="H436" t="s">
        <v>74</v>
      </c>
      <c r="I436" t="s">
        <v>4634</v>
      </c>
      <c r="J436" t="s">
        <v>4622</v>
      </c>
      <c r="K436" t="s">
        <v>74</v>
      </c>
      <c r="L436" t="s">
        <v>74</v>
      </c>
      <c r="M436" t="s">
        <v>78</v>
      </c>
      <c r="N436" t="s">
        <v>2737</v>
      </c>
      <c r="O436" t="s">
        <v>74</v>
      </c>
      <c r="P436" t="s">
        <v>74</v>
      </c>
      <c r="Q436" t="s">
        <v>74</v>
      </c>
      <c r="R436" t="s">
        <v>74</v>
      </c>
      <c r="S436" t="s">
        <v>74</v>
      </c>
      <c r="T436" t="s">
        <v>74</v>
      </c>
      <c r="U436" t="s">
        <v>4635</v>
      </c>
      <c r="V436" t="s">
        <v>4636</v>
      </c>
      <c r="W436" t="s">
        <v>4637</v>
      </c>
      <c r="X436" t="s">
        <v>4638</v>
      </c>
      <c r="Y436" t="s">
        <v>4639</v>
      </c>
      <c r="Z436" t="s">
        <v>4640</v>
      </c>
      <c r="AA436" t="s">
        <v>74</v>
      </c>
      <c r="AB436" t="s">
        <v>74</v>
      </c>
      <c r="AC436" t="s">
        <v>4641</v>
      </c>
      <c r="AD436" t="s">
        <v>4642</v>
      </c>
      <c r="AE436" t="s">
        <v>74</v>
      </c>
      <c r="AF436" t="s">
        <v>74</v>
      </c>
      <c r="AG436">
        <v>33</v>
      </c>
      <c r="AH436">
        <v>137</v>
      </c>
      <c r="AI436">
        <v>155</v>
      </c>
      <c r="AJ436">
        <v>6</v>
      </c>
      <c r="AK436">
        <v>86</v>
      </c>
      <c r="AL436" t="s">
        <v>4064</v>
      </c>
      <c r="AM436" t="s">
        <v>3281</v>
      </c>
      <c r="AN436" t="s">
        <v>4065</v>
      </c>
      <c r="AO436" t="s">
        <v>4623</v>
      </c>
      <c r="AP436" t="s">
        <v>4643</v>
      </c>
      <c r="AQ436" t="s">
        <v>74</v>
      </c>
      <c r="AR436" t="s">
        <v>4624</v>
      </c>
      <c r="AS436" t="s">
        <v>4625</v>
      </c>
      <c r="AT436" t="s">
        <v>4626</v>
      </c>
      <c r="AU436">
        <v>2008</v>
      </c>
      <c r="AV436">
        <v>42</v>
      </c>
      <c r="AW436">
        <v>11</v>
      </c>
      <c r="AX436" t="s">
        <v>74</v>
      </c>
      <c r="AY436" t="s">
        <v>74</v>
      </c>
      <c r="AZ436" t="s">
        <v>74</v>
      </c>
      <c r="BA436" t="s">
        <v>74</v>
      </c>
      <c r="BB436">
        <v>3958</v>
      </c>
      <c r="BC436">
        <v>3962</v>
      </c>
      <c r="BD436" t="s">
        <v>74</v>
      </c>
      <c r="BE436" t="s">
        <v>4644</v>
      </c>
      <c r="BF436" t="str">
        <f>HYPERLINK("http://dx.doi.org/10.1021/es702919n","http://dx.doi.org/10.1021/es702919n")</f>
        <v>http://dx.doi.org/10.1021/es702919n</v>
      </c>
      <c r="BG436" t="s">
        <v>74</v>
      </c>
      <c r="BH436" t="s">
        <v>74</v>
      </c>
      <c r="BI436">
        <v>5</v>
      </c>
      <c r="BJ436" t="s">
        <v>4628</v>
      </c>
      <c r="BK436" t="s">
        <v>419</v>
      </c>
      <c r="BL436" t="s">
        <v>4629</v>
      </c>
      <c r="BM436" t="s">
        <v>4630</v>
      </c>
      <c r="BN436">
        <v>18589951</v>
      </c>
      <c r="BO436" t="s">
        <v>3110</v>
      </c>
      <c r="BP436" t="s">
        <v>74</v>
      </c>
      <c r="BQ436" t="s">
        <v>74</v>
      </c>
      <c r="BR436" t="s">
        <v>101</v>
      </c>
      <c r="BS436" t="s">
        <v>4645</v>
      </c>
      <c r="BT436" t="str">
        <f>HYPERLINK("https%3A%2F%2Fwww.webofscience.com%2Fwos%2Fwoscc%2Ffull-record%2FWOS:000256274300013","View Full Record in Web of Science")</f>
        <v>View Full Record in Web of Science</v>
      </c>
    </row>
    <row r="437" spans="1:72" x14ac:dyDescent="0.15">
      <c r="A437" t="s">
        <v>72</v>
      </c>
      <c r="B437" t="s">
        <v>4646</v>
      </c>
      <c r="C437" t="s">
        <v>74</v>
      </c>
      <c r="D437" t="s">
        <v>74</v>
      </c>
      <c r="E437" t="s">
        <v>74</v>
      </c>
      <c r="F437" t="s">
        <v>4647</v>
      </c>
      <c r="G437" t="s">
        <v>74</v>
      </c>
      <c r="H437" t="s">
        <v>74</v>
      </c>
      <c r="I437" t="s">
        <v>4648</v>
      </c>
      <c r="J437" t="s">
        <v>4649</v>
      </c>
      <c r="K437" t="s">
        <v>74</v>
      </c>
      <c r="L437" t="s">
        <v>74</v>
      </c>
      <c r="M437" t="s">
        <v>78</v>
      </c>
      <c r="N437" t="s">
        <v>3318</v>
      </c>
      <c r="O437" t="s">
        <v>4650</v>
      </c>
      <c r="P437" t="s">
        <v>4651</v>
      </c>
      <c r="Q437" t="s">
        <v>4652</v>
      </c>
      <c r="R437" t="s">
        <v>74</v>
      </c>
      <c r="S437" t="s">
        <v>74</v>
      </c>
      <c r="T437" t="s">
        <v>74</v>
      </c>
      <c r="U437" t="s">
        <v>4653</v>
      </c>
      <c r="V437" t="s">
        <v>4654</v>
      </c>
      <c r="W437" t="s">
        <v>4655</v>
      </c>
      <c r="X437" t="s">
        <v>2786</v>
      </c>
      <c r="Y437" t="s">
        <v>4656</v>
      </c>
      <c r="Z437" t="s">
        <v>4657</v>
      </c>
      <c r="AA437" t="s">
        <v>4658</v>
      </c>
      <c r="AB437" t="s">
        <v>4659</v>
      </c>
      <c r="AC437" t="s">
        <v>74</v>
      </c>
      <c r="AD437" t="s">
        <v>74</v>
      </c>
      <c r="AE437" t="s">
        <v>74</v>
      </c>
      <c r="AF437" t="s">
        <v>74</v>
      </c>
      <c r="AG437">
        <v>17</v>
      </c>
      <c r="AH437">
        <v>2</v>
      </c>
      <c r="AI437">
        <v>3</v>
      </c>
      <c r="AJ437">
        <v>1</v>
      </c>
      <c r="AK437">
        <v>9</v>
      </c>
      <c r="AL437" t="s">
        <v>4660</v>
      </c>
      <c r="AM437" t="s">
        <v>4661</v>
      </c>
      <c r="AN437" t="s">
        <v>4662</v>
      </c>
      <c r="AO437" t="s">
        <v>4663</v>
      </c>
      <c r="AP437" t="s">
        <v>74</v>
      </c>
      <c r="AQ437" t="s">
        <v>74</v>
      </c>
      <c r="AR437" t="s">
        <v>4649</v>
      </c>
      <c r="AS437" t="s">
        <v>4664</v>
      </c>
      <c r="AT437" t="s">
        <v>4117</v>
      </c>
      <c r="AU437">
        <v>2008</v>
      </c>
      <c r="AV437">
        <v>31</v>
      </c>
      <c r="AW437">
        <v>2</v>
      </c>
      <c r="AX437" t="s">
        <v>74</v>
      </c>
      <c r="AY437" t="s">
        <v>74</v>
      </c>
      <c r="AZ437" t="s">
        <v>74</v>
      </c>
      <c r="BA437" t="s">
        <v>74</v>
      </c>
      <c r="BB437">
        <v>219</v>
      </c>
      <c r="BC437">
        <v>221</v>
      </c>
      <c r="BD437" t="s">
        <v>74</v>
      </c>
      <c r="BE437" t="s">
        <v>4665</v>
      </c>
      <c r="BF437" t="str">
        <f>HYPERLINK("http://dx.doi.org/10.18814/epiiugs/2008/v31i2/005","http://dx.doi.org/10.18814/epiiugs/2008/v31i2/005")</f>
        <v>http://dx.doi.org/10.18814/epiiugs/2008/v31i2/005</v>
      </c>
      <c r="BG437" t="s">
        <v>74</v>
      </c>
      <c r="BH437" t="s">
        <v>74</v>
      </c>
      <c r="BI437">
        <v>3</v>
      </c>
      <c r="BJ437" t="s">
        <v>3093</v>
      </c>
      <c r="BK437" t="s">
        <v>99</v>
      </c>
      <c r="BL437" t="s">
        <v>3094</v>
      </c>
      <c r="BM437" t="s">
        <v>4666</v>
      </c>
      <c r="BN437" t="s">
        <v>74</v>
      </c>
      <c r="BO437" t="s">
        <v>4667</v>
      </c>
      <c r="BP437" t="s">
        <v>74</v>
      </c>
      <c r="BQ437" t="s">
        <v>74</v>
      </c>
      <c r="BR437" t="s">
        <v>101</v>
      </c>
      <c r="BS437" t="s">
        <v>4668</v>
      </c>
      <c r="BT437" t="str">
        <f>HYPERLINK("https%3A%2F%2Fwww.webofscience.com%2Fwos%2Fwoscc%2Ffull-record%2FWOS:000258669100005","View Full Record in Web of Science")</f>
        <v>View Full Record in Web of Science</v>
      </c>
    </row>
    <row r="438" spans="1:72" x14ac:dyDescent="0.15">
      <c r="A438" t="s">
        <v>72</v>
      </c>
      <c r="B438" t="s">
        <v>4669</v>
      </c>
      <c r="C438" t="s">
        <v>74</v>
      </c>
      <c r="D438" t="s">
        <v>74</v>
      </c>
      <c r="E438" t="s">
        <v>74</v>
      </c>
      <c r="F438" t="s">
        <v>4670</v>
      </c>
      <c r="G438" t="s">
        <v>74</v>
      </c>
      <c r="H438" t="s">
        <v>74</v>
      </c>
      <c r="I438" t="s">
        <v>4671</v>
      </c>
      <c r="J438" t="s">
        <v>4672</v>
      </c>
      <c r="K438" t="s">
        <v>74</v>
      </c>
      <c r="L438" t="s">
        <v>74</v>
      </c>
      <c r="M438" t="s">
        <v>78</v>
      </c>
      <c r="N438" t="s">
        <v>2737</v>
      </c>
      <c r="O438" t="s">
        <v>74</v>
      </c>
      <c r="P438" t="s">
        <v>74</v>
      </c>
      <c r="Q438" t="s">
        <v>74</v>
      </c>
      <c r="R438" t="s">
        <v>74</v>
      </c>
      <c r="S438" t="s">
        <v>74</v>
      </c>
      <c r="T438" t="s">
        <v>4673</v>
      </c>
      <c r="U438" t="s">
        <v>4674</v>
      </c>
      <c r="V438" t="s">
        <v>4675</v>
      </c>
      <c r="W438" t="s">
        <v>4676</v>
      </c>
      <c r="X438" t="s">
        <v>4677</v>
      </c>
      <c r="Y438" t="s">
        <v>4678</v>
      </c>
      <c r="Z438" t="s">
        <v>4679</v>
      </c>
      <c r="AA438" t="s">
        <v>4680</v>
      </c>
      <c r="AB438" t="s">
        <v>4681</v>
      </c>
      <c r="AC438" t="s">
        <v>74</v>
      </c>
      <c r="AD438" t="s">
        <v>74</v>
      </c>
      <c r="AE438" t="s">
        <v>74</v>
      </c>
      <c r="AF438" t="s">
        <v>74</v>
      </c>
      <c r="AG438">
        <v>74</v>
      </c>
      <c r="AH438">
        <v>55</v>
      </c>
      <c r="AI438">
        <v>59</v>
      </c>
      <c r="AJ438">
        <v>0</v>
      </c>
      <c r="AK438">
        <v>22</v>
      </c>
      <c r="AL438" t="s">
        <v>4682</v>
      </c>
      <c r="AM438" t="s">
        <v>3008</v>
      </c>
      <c r="AN438" t="s">
        <v>4683</v>
      </c>
      <c r="AO438" t="s">
        <v>4684</v>
      </c>
      <c r="AP438" t="s">
        <v>4685</v>
      </c>
      <c r="AQ438" t="s">
        <v>74</v>
      </c>
      <c r="AR438" t="s">
        <v>4686</v>
      </c>
      <c r="AS438" t="s">
        <v>4687</v>
      </c>
      <c r="AT438" t="s">
        <v>4117</v>
      </c>
      <c r="AU438">
        <v>2008</v>
      </c>
      <c r="AV438">
        <v>64</v>
      </c>
      <c r="AW438">
        <v>3</v>
      </c>
      <c r="AX438" t="s">
        <v>74</v>
      </c>
      <c r="AY438" t="s">
        <v>74</v>
      </c>
      <c r="AZ438" t="s">
        <v>74</v>
      </c>
      <c r="BA438" t="s">
        <v>74</v>
      </c>
      <c r="BB438">
        <v>419</v>
      </c>
      <c r="BC438">
        <v>432</v>
      </c>
      <c r="BD438" t="s">
        <v>74</v>
      </c>
      <c r="BE438" t="s">
        <v>4688</v>
      </c>
      <c r="BF438" t="str">
        <f>HYPERLINK("http://dx.doi.org/10.1111/j.1574-6941.2008.00483.x","http://dx.doi.org/10.1111/j.1574-6941.2008.00483.x")</f>
        <v>http://dx.doi.org/10.1111/j.1574-6941.2008.00483.x</v>
      </c>
      <c r="BG438" t="s">
        <v>74</v>
      </c>
      <c r="BH438" t="s">
        <v>74</v>
      </c>
      <c r="BI438">
        <v>14</v>
      </c>
      <c r="BJ438" t="s">
        <v>4689</v>
      </c>
      <c r="BK438" t="s">
        <v>419</v>
      </c>
      <c r="BL438" t="s">
        <v>4689</v>
      </c>
      <c r="BM438" t="s">
        <v>4690</v>
      </c>
      <c r="BN438">
        <v>18410357</v>
      </c>
      <c r="BO438" t="s">
        <v>4691</v>
      </c>
      <c r="BP438" t="s">
        <v>74</v>
      </c>
      <c r="BQ438" t="s">
        <v>74</v>
      </c>
      <c r="BR438" t="s">
        <v>101</v>
      </c>
      <c r="BS438" t="s">
        <v>4692</v>
      </c>
      <c r="BT438" t="str">
        <f>HYPERLINK("https%3A%2F%2Fwww.webofscience.com%2Fwos%2Fwoscc%2Ffull-record%2FWOS:000255644200009","View Full Record in Web of Science")</f>
        <v>View Full Record in Web of Science</v>
      </c>
    </row>
    <row r="439" spans="1:72" x14ac:dyDescent="0.15">
      <c r="A439" t="s">
        <v>72</v>
      </c>
      <c r="B439" t="s">
        <v>4693</v>
      </c>
      <c r="C439" t="s">
        <v>74</v>
      </c>
      <c r="D439" t="s">
        <v>74</v>
      </c>
      <c r="E439" t="s">
        <v>74</v>
      </c>
      <c r="F439" t="s">
        <v>4694</v>
      </c>
      <c r="G439" t="s">
        <v>74</v>
      </c>
      <c r="H439" t="s">
        <v>74</v>
      </c>
      <c r="I439" t="s">
        <v>4695</v>
      </c>
      <c r="J439" t="s">
        <v>4696</v>
      </c>
      <c r="K439" t="s">
        <v>74</v>
      </c>
      <c r="L439" t="s">
        <v>74</v>
      </c>
      <c r="M439" t="s">
        <v>78</v>
      </c>
      <c r="N439" t="s">
        <v>2737</v>
      </c>
      <c r="O439" t="s">
        <v>74</v>
      </c>
      <c r="P439" t="s">
        <v>74</v>
      </c>
      <c r="Q439" t="s">
        <v>74</v>
      </c>
      <c r="R439" t="s">
        <v>74</v>
      </c>
      <c r="S439" t="s">
        <v>74</v>
      </c>
      <c r="T439" t="s">
        <v>4697</v>
      </c>
      <c r="U439" t="s">
        <v>4698</v>
      </c>
      <c r="V439" t="s">
        <v>4699</v>
      </c>
      <c r="W439" t="s">
        <v>4700</v>
      </c>
      <c r="X439" t="s">
        <v>2786</v>
      </c>
      <c r="Y439" t="s">
        <v>4701</v>
      </c>
      <c r="Z439" t="s">
        <v>4702</v>
      </c>
      <c r="AA439" t="s">
        <v>4150</v>
      </c>
      <c r="AB439" t="s">
        <v>4703</v>
      </c>
      <c r="AC439" t="s">
        <v>4704</v>
      </c>
      <c r="AD439" t="s">
        <v>3031</v>
      </c>
      <c r="AE439" t="s">
        <v>74</v>
      </c>
      <c r="AF439" t="s">
        <v>74</v>
      </c>
      <c r="AG439">
        <v>47</v>
      </c>
      <c r="AH439">
        <v>38</v>
      </c>
      <c r="AI439">
        <v>52</v>
      </c>
      <c r="AJ439">
        <v>1</v>
      </c>
      <c r="AK439">
        <v>31</v>
      </c>
      <c r="AL439" t="s">
        <v>3257</v>
      </c>
      <c r="AM439" t="s">
        <v>3258</v>
      </c>
      <c r="AN439" t="s">
        <v>3259</v>
      </c>
      <c r="AO439" t="s">
        <v>4705</v>
      </c>
      <c r="AP439" t="s">
        <v>4706</v>
      </c>
      <c r="AQ439" t="s">
        <v>74</v>
      </c>
      <c r="AR439" t="s">
        <v>4707</v>
      </c>
      <c r="AS439" t="s">
        <v>4708</v>
      </c>
      <c r="AT439" t="s">
        <v>4117</v>
      </c>
      <c r="AU439">
        <v>2008</v>
      </c>
      <c r="AV439">
        <v>91</v>
      </c>
      <c r="AW439" t="s">
        <v>4709</v>
      </c>
      <c r="AX439" t="s">
        <v>74</v>
      </c>
      <c r="AY439" t="s">
        <v>74</v>
      </c>
      <c r="AZ439" t="s">
        <v>74</v>
      </c>
      <c r="BA439" t="s">
        <v>74</v>
      </c>
      <c r="BB439">
        <v>196</v>
      </c>
      <c r="BC439">
        <v>202</v>
      </c>
      <c r="BD439" t="s">
        <v>74</v>
      </c>
      <c r="BE439" t="s">
        <v>4710</v>
      </c>
      <c r="BF439" t="str">
        <f>HYPERLINK("http://dx.doi.org/10.1016/j.fishres.2007.11.027","http://dx.doi.org/10.1016/j.fishres.2007.11.027")</f>
        <v>http://dx.doi.org/10.1016/j.fishres.2007.11.027</v>
      </c>
      <c r="BG439" t="s">
        <v>74</v>
      </c>
      <c r="BH439" t="s">
        <v>74</v>
      </c>
      <c r="BI439">
        <v>7</v>
      </c>
      <c r="BJ439" t="s">
        <v>4711</v>
      </c>
      <c r="BK439" t="s">
        <v>419</v>
      </c>
      <c r="BL439" t="s">
        <v>4711</v>
      </c>
      <c r="BM439" t="s">
        <v>4712</v>
      </c>
      <c r="BN439" t="s">
        <v>74</v>
      </c>
      <c r="BO439" t="s">
        <v>74</v>
      </c>
      <c r="BP439" t="s">
        <v>74</v>
      </c>
      <c r="BQ439" t="s">
        <v>74</v>
      </c>
      <c r="BR439" t="s">
        <v>101</v>
      </c>
      <c r="BS439" t="s">
        <v>4713</v>
      </c>
      <c r="BT439" t="str">
        <f>HYPERLINK("https%3A%2F%2Fwww.webofscience.com%2Fwos%2Fwoscc%2Ffull-record%2FWOS:000256578300010","View Full Record in Web of Science")</f>
        <v>View Full Record in Web of Science</v>
      </c>
    </row>
    <row r="440" spans="1:72" x14ac:dyDescent="0.15">
      <c r="A440" t="s">
        <v>72</v>
      </c>
      <c r="B440" t="s">
        <v>4714</v>
      </c>
      <c r="C440" t="s">
        <v>74</v>
      </c>
      <c r="D440" t="s">
        <v>74</v>
      </c>
      <c r="E440" t="s">
        <v>74</v>
      </c>
      <c r="F440" t="s">
        <v>4715</v>
      </c>
      <c r="G440" t="s">
        <v>74</v>
      </c>
      <c r="H440" t="s">
        <v>74</v>
      </c>
      <c r="I440" t="s">
        <v>4716</v>
      </c>
      <c r="J440" t="s">
        <v>4717</v>
      </c>
      <c r="K440" t="s">
        <v>74</v>
      </c>
      <c r="L440" t="s">
        <v>74</v>
      </c>
      <c r="M440" t="s">
        <v>78</v>
      </c>
      <c r="N440" t="s">
        <v>2737</v>
      </c>
      <c r="O440" t="s">
        <v>74</v>
      </c>
      <c r="P440" t="s">
        <v>74</v>
      </c>
      <c r="Q440" t="s">
        <v>74</v>
      </c>
      <c r="R440" t="s">
        <v>74</v>
      </c>
      <c r="S440" t="s">
        <v>74</v>
      </c>
      <c r="T440" t="s">
        <v>74</v>
      </c>
      <c r="U440" t="s">
        <v>4718</v>
      </c>
      <c r="V440" t="s">
        <v>4719</v>
      </c>
      <c r="W440" t="s">
        <v>4720</v>
      </c>
      <c r="X440" t="s">
        <v>4721</v>
      </c>
      <c r="Y440" t="s">
        <v>4722</v>
      </c>
      <c r="Z440" t="s">
        <v>4723</v>
      </c>
      <c r="AA440" t="s">
        <v>74</v>
      </c>
      <c r="AB440" t="s">
        <v>74</v>
      </c>
      <c r="AC440" t="s">
        <v>74</v>
      </c>
      <c r="AD440" t="s">
        <v>74</v>
      </c>
      <c r="AE440" t="s">
        <v>74</v>
      </c>
      <c r="AF440" t="s">
        <v>74</v>
      </c>
      <c r="AG440">
        <v>23</v>
      </c>
      <c r="AH440">
        <v>3</v>
      </c>
      <c r="AI440">
        <v>3</v>
      </c>
      <c r="AJ440">
        <v>0</v>
      </c>
      <c r="AK440">
        <v>2</v>
      </c>
      <c r="AL440" t="s">
        <v>4724</v>
      </c>
      <c r="AM440" t="s">
        <v>2747</v>
      </c>
      <c r="AN440" t="s">
        <v>4725</v>
      </c>
      <c r="AO440" t="s">
        <v>4726</v>
      </c>
      <c r="AP440" t="s">
        <v>4727</v>
      </c>
      <c r="AQ440" t="s">
        <v>74</v>
      </c>
      <c r="AR440" t="s">
        <v>4728</v>
      </c>
      <c r="AS440" t="s">
        <v>4729</v>
      </c>
      <c r="AT440" t="s">
        <v>4117</v>
      </c>
      <c r="AU440">
        <v>2008</v>
      </c>
      <c r="AV440">
        <v>48</v>
      </c>
      <c r="AW440">
        <v>3</v>
      </c>
      <c r="AX440" t="s">
        <v>74</v>
      </c>
      <c r="AY440" t="s">
        <v>74</v>
      </c>
      <c r="AZ440" t="s">
        <v>74</v>
      </c>
      <c r="BA440" t="s">
        <v>74</v>
      </c>
      <c r="BB440">
        <v>307</v>
      </c>
      <c r="BC440">
        <v>313</v>
      </c>
      <c r="BD440" t="s">
        <v>74</v>
      </c>
      <c r="BE440" t="s">
        <v>4730</v>
      </c>
      <c r="BF440" t="str">
        <f>HYPERLINK("http://dx.doi.org/10.1134/S0016793208030043","http://dx.doi.org/10.1134/S0016793208030043")</f>
        <v>http://dx.doi.org/10.1134/S0016793208030043</v>
      </c>
      <c r="BG440" t="s">
        <v>74</v>
      </c>
      <c r="BH440" t="s">
        <v>74</v>
      </c>
      <c r="BI440">
        <v>7</v>
      </c>
      <c r="BJ440" t="s">
        <v>98</v>
      </c>
      <c r="BK440" t="s">
        <v>419</v>
      </c>
      <c r="BL440" t="s">
        <v>98</v>
      </c>
      <c r="BM440" t="s">
        <v>4731</v>
      </c>
      <c r="BN440" t="s">
        <v>74</v>
      </c>
      <c r="BO440" t="s">
        <v>74</v>
      </c>
      <c r="BP440" t="s">
        <v>74</v>
      </c>
      <c r="BQ440" t="s">
        <v>74</v>
      </c>
      <c r="BR440" t="s">
        <v>101</v>
      </c>
      <c r="BS440" t="s">
        <v>4732</v>
      </c>
      <c r="BT440" t="str">
        <f>HYPERLINK("https%3A%2F%2Fwww.webofscience.com%2Fwos%2Fwoscc%2Ffull-record%2FWOS:000256776300004","View Full Record in Web of Science")</f>
        <v>View Full Record in Web of Science</v>
      </c>
    </row>
    <row r="441" spans="1:72" x14ac:dyDescent="0.15">
      <c r="A441" t="s">
        <v>72</v>
      </c>
      <c r="B441" t="s">
        <v>4733</v>
      </c>
      <c r="C441" t="s">
        <v>74</v>
      </c>
      <c r="D441" t="s">
        <v>74</v>
      </c>
      <c r="E441" t="s">
        <v>74</v>
      </c>
      <c r="F441" t="s">
        <v>4734</v>
      </c>
      <c r="G441" t="s">
        <v>74</v>
      </c>
      <c r="H441" t="s">
        <v>74</v>
      </c>
      <c r="I441" t="s">
        <v>4735</v>
      </c>
      <c r="J441" t="s">
        <v>4736</v>
      </c>
      <c r="K441" t="s">
        <v>74</v>
      </c>
      <c r="L441" t="s">
        <v>74</v>
      </c>
      <c r="M441" t="s">
        <v>78</v>
      </c>
      <c r="N441" t="s">
        <v>2737</v>
      </c>
      <c r="O441" t="s">
        <v>74</v>
      </c>
      <c r="P441" t="s">
        <v>74</v>
      </c>
      <c r="Q441" t="s">
        <v>74</v>
      </c>
      <c r="R441" t="s">
        <v>74</v>
      </c>
      <c r="S441" t="s">
        <v>74</v>
      </c>
      <c r="T441" t="s">
        <v>4737</v>
      </c>
      <c r="U441" t="s">
        <v>4738</v>
      </c>
      <c r="V441" t="s">
        <v>4739</v>
      </c>
      <c r="W441" t="s">
        <v>4740</v>
      </c>
      <c r="X441" t="s">
        <v>4741</v>
      </c>
      <c r="Y441" t="s">
        <v>4742</v>
      </c>
      <c r="Z441" t="s">
        <v>4743</v>
      </c>
      <c r="AA441" t="s">
        <v>4744</v>
      </c>
      <c r="AB441" t="s">
        <v>4745</v>
      </c>
      <c r="AC441" t="s">
        <v>74</v>
      </c>
      <c r="AD441" t="s">
        <v>74</v>
      </c>
      <c r="AE441" t="s">
        <v>74</v>
      </c>
      <c r="AF441" t="s">
        <v>74</v>
      </c>
      <c r="AG441">
        <v>51</v>
      </c>
      <c r="AH441">
        <v>14</v>
      </c>
      <c r="AI441">
        <v>17</v>
      </c>
      <c r="AJ441">
        <v>0</v>
      </c>
      <c r="AK441">
        <v>5</v>
      </c>
      <c r="AL441" t="s">
        <v>4746</v>
      </c>
      <c r="AM441" t="s">
        <v>4747</v>
      </c>
      <c r="AN441" t="s">
        <v>4748</v>
      </c>
      <c r="AO441" t="s">
        <v>4749</v>
      </c>
      <c r="AP441" t="s">
        <v>4750</v>
      </c>
      <c r="AQ441" t="s">
        <v>74</v>
      </c>
      <c r="AR441" t="s">
        <v>4751</v>
      </c>
      <c r="AS441" t="s">
        <v>4752</v>
      </c>
      <c r="AT441" t="s">
        <v>4117</v>
      </c>
      <c r="AU441">
        <v>2008</v>
      </c>
      <c r="AV441">
        <v>62</v>
      </c>
      <c r="AW441">
        <v>2</v>
      </c>
      <c r="AX441" t="s">
        <v>74</v>
      </c>
      <c r="AY441" t="s">
        <v>74</v>
      </c>
      <c r="AZ441" t="s">
        <v>74</v>
      </c>
      <c r="BA441" t="s">
        <v>74</v>
      </c>
      <c r="BB441">
        <v>143</v>
      </c>
      <c r="BC441">
        <v>152</v>
      </c>
      <c r="BD441" t="s">
        <v>74</v>
      </c>
      <c r="BE441" t="s">
        <v>4753</v>
      </c>
      <c r="BF441" t="str">
        <f>HYPERLINK("http://dx.doi.org/10.1007/s10152-007-0085-4","http://dx.doi.org/10.1007/s10152-007-0085-4")</f>
        <v>http://dx.doi.org/10.1007/s10152-007-0085-4</v>
      </c>
      <c r="BG441" t="s">
        <v>74</v>
      </c>
      <c r="BH441" t="s">
        <v>74</v>
      </c>
      <c r="BI441">
        <v>10</v>
      </c>
      <c r="BJ441" t="s">
        <v>4754</v>
      </c>
      <c r="BK441" t="s">
        <v>419</v>
      </c>
      <c r="BL441" t="s">
        <v>4754</v>
      </c>
      <c r="BM441" t="s">
        <v>4755</v>
      </c>
      <c r="BN441" t="s">
        <v>74</v>
      </c>
      <c r="BO441" t="s">
        <v>4015</v>
      </c>
      <c r="BP441" t="s">
        <v>74</v>
      </c>
      <c r="BQ441" t="s">
        <v>74</v>
      </c>
      <c r="BR441" t="s">
        <v>101</v>
      </c>
      <c r="BS441" t="s">
        <v>4756</v>
      </c>
      <c r="BT441" t="str">
        <f>HYPERLINK("https%3A%2F%2Fwww.webofscience.com%2Fwos%2Fwoscc%2Ffull-record%2FWOS:000256009100005","View Full Record in Web of Science")</f>
        <v>View Full Record in Web of Science</v>
      </c>
    </row>
    <row r="442" spans="1:72" x14ac:dyDescent="0.15">
      <c r="A442" t="s">
        <v>72</v>
      </c>
      <c r="B442" t="s">
        <v>4757</v>
      </c>
      <c r="C442" t="s">
        <v>74</v>
      </c>
      <c r="D442" t="s">
        <v>74</v>
      </c>
      <c r="E442" t="s">
        <v>74</v>
      </c>
      <c r="F442" t="s">
        <v>4758</v>
      </c>
      <c r="G442" t="s">
        <v>74</v>
      </c>
      <c r="H442" t="s">
        <v>74</v>
      </c>
      <c r="I442" t="s">
        <v>4759</v>
      </c>
      <c r="J442" t="s">
        <v>4760</v>
      </c>
      <c r="K442" t="s">
        <v>74</v>
      </c>
      <c r="L442" t="s">
        <v>74</v>
      </c>
      <c r="M442" t="s">
        <v>78</v>
      </c>
      <c r="N442" t="s">
        <v>2737</v>
      </c>
      <c r="O442" t="s">
        <v>74</v>
      </c>
      <c r="P442" t="s">
        <v>74</v>
      </c>
      <c r="Q442" t="s">
        <v>74</v>
      </c>
      <c r="R442" t="s">
        <v>74</v>
      </c>
      <c r="S442" t="s">
        <v>74</v>
      </c>
      <c r="T442" t="s">
        <v>4761</v>
      </c>
      <c r="U442" t="s">
        <v>4762</v>
      </c>
      <c r="V442" t="s">
        <v>4763</v>
      </c>
      <c r="W442" t="s">
        <v>4764</v>
      </c>
      <c r="X442" t="s">
        <v>4765</v>
      </c>
      <c r="Y442" t="s">
        <v>4766</v>
      </c>
      <c r="Z442" t="s">
        <v>4767</v>
      </c>
      <c r="AA442" t="s">
        <v>4768</v>
      </c>
      <c r="AB442" t="s">
        <v>4769</v>
      </c>
      <c r="AC442" t="s">
        <v>74</v>
      </c>
      <c r="AD442" t="s">
        <v>74</v>
      </c>
      <c r="AE442" t="s">
        <v>74</v>
      </c>
      <c r="AF442" t="s">
        <v>74</v>
      </c>
      <c r="AG442">
        <v>47</v>
      </c>
      <c r="AH442">
        <v>110</v>
      </c>
      <c r="AI442">
        <v>116</v>
      </c>
      <c r="AJ442">
        <v>1</v>
      </c>
      <c r="AK442">
        <v>43</v>
      </c>
      <c r="AL442" t="s">
        <v>88</v>
      </c>
      <c r="AM442" t="s">
        <v>89</v>
      </c>
      <c r="AN442" t="s">
        <v>90</v>
      </c>
      <c r="AO442" t="s">
        <v>4770</v>
      </c>
      <c r="AP442" t="s">
        <v>4771</v>
      </c>
      <c r="AQ442" t="s">
        <v>74</v>
      </c>
      <c r="AR442" t="s">
        <v>4772</v>
      </c>
      <c r="AS442" t="s">
        <v>4773</v>
      </c>
      <c r="AT442" t="s">
        <v>4117</v>
      </c>
      <c r="AU442">
        <v>2008</v>
      </c>
      <c r="AV442">
        <v>28</v>
      </c>
      <c r="AW442">
        <v>7</v>
      </c>
      <c r="AX442" t="s">
        <v>74</v>
      </c>
      <c r="AY442" t="s">
        <v>74</v>
      </c>
      <c r="AZ442" t="s">
        <v>74</v>
      </c>
      <c r="BA442" t="s">
        <v>74</v>
      </c>
      <c r="BB442">
        <v>881</v>
      </c>
      <c r="BC442">
        <v>892</v>
      </c>
      <c r="BD442" t="s">
        <v>74</v>
      </c>
      <c r="BE442" t="s">
        <v>4774</v>
      </c>
      <c r="BF442" t="str">
        <f>HYPERLINK("http://dx.doi.org/10.1002/joc.1589","http://dx.doi.org/10.1002/joc.1589")</f>
        <v>http://dx.doi.org/10.1002/joc.1589</v>
      </c>
      <c r="BG442" t="s">
        <v>74</v>
      </c>
      <c r="BH442" t="s">
        <v>74</v>
      </c>
      <c r="BI442">
        <v>12</v>
      </c>
      <c r="BJ442" t="s">
        <v>3071</v>
      </c>
      <c r="BK442" t="s">
        <v>419</v>
      </c>
      <c r="BL442" t="s">
        <v>3071</v>
      </c>
      <c r="BM442" t="s">
        <v>4775</v>
      </c>
      <c r="BN442" t="s">
        <v>74</v>
      </c>
      <c r="BO442" t="s">
        <v>74</v>
      </c>
      <c r="BP442" t="s">
        <v>74</v>
      </c>
      <c r="BQ442" t="s">
        <v>74</v>
      </c>
      <c r="BR442" t="s">
        <v>101</v>
      </c>
      <c r="BS442" t="s">
        <v>4776</v>
      </c>
      <c r="BT442" t="str">
        <f>HYPERLINK("https%3A%2F%2Fwww.webofscience.com%2Fwos%2Fwoscc%2Ffull-record%2FWOS:000256817900003","View Full Record in Web of Science")</f>
        <v>View Full Record in Web of Science</v>
      </c>
    </row>
    <row r="443" spans="1:72" x14ac:dyDescent="0.15">
      <c r="A443" t="s">
        <v>72</v>
      </c>
      <c r="B443" t="s">
        <v>4777</v>
      </c>
      <c r="C443" t="s">
        <v>74</v>
      </c>
      <c r="D443" t="s">
        <v>74</v>
      </c>
      <c r="E443" t="s">
        <v>74</v>
      </c>
      <c r="F443" t="s">
        <v>4778</v>
      </c>
      <c r="G443" t="s">
        <v>74</v>
      </c>
      <c r="H443" t="s">
        <v>74</v>
      </c>
      <c r="I443" t="s">
        <v>4779</v>
      </c>
      <c r="J443" t="s">
        <v>4780</v>
      </c>
      <c r="K443" t="s">
        <v>74</v>
      </c>
      <c r="L443" t="s">
        <v>74</v>
      </c>
      <c r="M443" t="s">
        <v>78</v>
      </c>
      <c r="N443" t="s">
        <v>2737</v>
      </c>
      <c r="O443" t="s">
        <v>74</v>
      </c>
      <c r="P443" t="s">
        <v>74</v>
      </c>
      <c r="Q443" t="s">
        <v>74</v>
      </c>
      <c r="R443" t="s">
        <v>74</v>
      </c>
      <c r="S443" t="s">
        <v>74</v>
      </c>
      <c r="T443" t="s">
        <v>4781</v>
      </c>
      <c r="U443" t="s">
        <v>4782</v>
      </c>
      <c r="V443" t="s">
        <v>4783</v>
      </c>
      <c r="W443" t="s">
        <v>4784</v>
      </c>
      <c r="X443" t="s">
        <v>4785</v>
      </c>
      <c r="Y443" t="s">
        <v>4786</v>
      </c>
      <c r="Z443" t="s">
        <v>4787</v>
      </c>
      <c r="AA443" t="s">
        <v>4788</v>
      </c>
      <c r="AB443" t="s">
        <v>74</v>
      </c>
      <c r="AC443" t="s">
        <v>74</v>
      </c>
      <c r="AD443" t="s">
        <v>74</v>
      </c>
      <c r="AE443" t="s">
        <v>74</v>
      </c>
      <c r="AF443" t="s">
        <v>74</v>
      </c>
      <c r="AG443">
        <v>25</v>
      </c>
      <c r="AH443">
        <v>2</v>
      </c>
      <c r="AI443">
        <v>3</v>
      </c>
      <c r="AJ443">
        <v>2</v>
      </c>
      <c r="AK443">
        <v>27</v>
      </c>
      <c r="AL443" t="s">
        <v>2746</v>
      </c>
      <c r="AM443" t="s">
        <v>2747</v>
      </c>
      <c r="AN443" t="s">
        <v>2748</v>
      </c>
      <c r="AO443" t="s">
        <v>4789</v>
      </c>
      <c r="AP443" t="s">
        <v>4790</v>
      </c>
      <c r="AQ443" t="s">
        <v>74</v>
      </c>
      <c r="AR443" t="s">
        <v>4791</v>
      </c>
      <c r="AS443" t="s">
        <v>4792</v>
      </c>
      <c r="AT443" t="s">
        <v>4117</v>
      </c>
      <c r="AU443">
        <v>2008</v>
      </c>
      <c r="AV443">
        <v>14</v>
      </c>
      <c r="AW443">
        <v>2</v>
      </c>
      <c r="AX443" t="s">
        <v>74</v>
      </c>
      <c r="AY443" t="s">
        <v>74</v>
      </c>
      <c r="AZ443" t="s">
        <v>74</v>
      </c>
      <c r="BA443" t="s">
        <v>74</v>
      </c>
      <c r="BB443">
        <v>75</v>
      </c>
      <c r="BC443">
        <v>80</v>
      </c>
      <c r="BD443" t="s">
        <v>74</v>
      </c>
      <c r="BE443" t="s">
        <v>4793</v>
      </c>
      <c r="BF443" t="str">
        <f>HYPERLINK("http://dx.doi.org/10.1007/s10989-007-9102-3","http://dx.doi.org/10.1007/s10989-007-9102-3")</f>
        <v>http://dx.doi.org/10.1007/s10989-007-9102-3</v>
      </c>
      <c r="BG443" t="s">
        <v>74</v>
      </c>
      <c r="BH443" t="s">
        <v>74</v>
      </c>
      <c r="BI443">
        <v>6</v>
      </c>
      <c r="BJ443" t="s">
        <v>4071</v>
      </c>
      <c r="BK443" t="s">
        <v>419</v>
      </c>
      <c r="BL443" t="s">
        <v>4071</v>
      </c>
      <c r="BM443" t="s">
        <v>4794</v>
      </c>
      <c r="BN443" t="s">
        <v>74</v>
      </c>
      <c r="BO443" t="s">
        <v>74</v>
      </c>
      <c r="BP443" t="s">
        <v>74</v>
      </c>
      <c r="BQ443" t="s">
        <v>74</v>
      </c>
      <c r="BR443" t="s">
        <v>101</v>
      </c>
      <c r="BS443" t="s">
        <v>4795</v>
      </c>
      <c r="BT443" t="str">
        <f>HYPERLINK("https%3A%2F%2Fwww.webofscience.com%2Fwos%2Fwoscc%2Ffull-record%2FWOS:000255878700001","View Full Record in Web of Science")</f>
        <v>View Full Record in Web of Science</v>
      </c>
    </row>
    <row r="444" spans="1:72" x14ac:dyDescent="0.15">
      <c r="A444" t="s">
        <v>72</v>
      </c>
      <c r="B444" t="s">
        <v>4796</v>
      </c>
      <c r="C444" t="s">
        <v>74</v>
      </c>
      <c r="D444" t="s">
        <v>74</v>
      </c>
      <c r="E444" t="s">
        <v>74</v>
      </c>
      <c r="F444" t="s">
        <v>4797</v>
      </c>
      <c r="G444" t="s">
        <v>74</v>
      </c>
      <c r="H444" t="s">
        <v>74</v>
      </c>
      <c r="I444" t="s">
        <v>4798</v>
      </c>
      <c r="J444" t="s">
        <v>4780</v>
      </c>
      <c r="K444" t="s">
        <v>74</v>
      </c>
      <c r="L444" t="s">
        <v>74</v>
      </c>
      <c r="M444" t="s">
        <v>78</v>
      </c>
      <c r="N444" t="s">
        <v>2737</v>
      </c>
      <c r="O444" t="s">
        <v>74</v>
      </c>
      <c r="P444" t="s">
        <v>74</v>
      </c>
      <c r="Q444" t="s">
        <v>74</v>
      </c>
      <c r="R444" t="s">
        <v>74</v>
      </c>
      <c r="S444" t="s">
        <v>74</v>
      </c>
      <c r="T444" t="s">
        <v>4799</v>
      </c>
      <c r="U444" t="s">
        <v>4800</v>
      </c>
      <c r="V444" t="s">
        <v>4801</v>
      </c>
      <c r="W444" t="s">
        <v>4802</v>
      </c>
      <c r="X444" t="s">
        <v>4785</v>
      </c>
      <c r="Y444" t="s">
        <v>4803</v>
      </c>
      <c r="Z444" t="s">
        <v>4787</v>
      </c>
      <c r="AA444" t="s">
        <v>4788</v>
      </c>
      <c r="AB444" t="s">
        <v>74</v>
      </c>
      <c r="AC444" t="s">
        <v>74</v>
      </c>
      <c r="AD444" t="s">
        <v>74</v>
      </c>
      <c r="AE444" t="s">
        <v>74</v>
      </c>
      <c r="AF444" t="s">
        <v>74</v>
      </c>
      <c r="AG444">
        <v>48</v>
      </c>
      <c r="AH444">
        <v>1</v>
      </c>
      <c r="AI444">
        <v>2</v>
      </c>
      <c r="AJ444">
        <v>0</v>
      </c>
      <c r="AK444">
        <v>10</v>
      </c>
      <c r="AL444" t="s">
        <v>2746</v>
      </c>
      <c r="AM444" t="s">
        <v>2793</v>
      </c>
      <c r="AN444" t="s">
        <v>2794</v>
      </c>
      <c r="AO444" t="s">
        <v>4789</v>
      </c>
      <c r="AP444" t="s">
        <v>4790</v>
      </c>
      <c r="AQ444" t="s">
        <v>74</v>
      </c>
      <c r="AR444" t="s">
        <v>4791</v>
      </c>
      <c r="AS444" t="s">
        <v>4792</v>
      </c>
      <c r="AT444" t="s">
        <v>4117</v>
      </c>
      <c r="AU444">
        <v>2008</v>
      </c>
      <c r="AV444">
        <v>14</v>
      </c>
      <c r="AW444">
        <v>2</v>
      </c>
      <c r="AX444" t="s">
        <v>74</v>
      </c>
      <c r="AY444" t="s">
        <v>74</v>
      </c>
      <c r="AZ444" t="s">
        <v>74</v>
      </c>
      <c r="BA444" t="s">
        <v>74</v>
      </c>
      <c r="BB444">
        <v>81</v>
      </c>
      <c r="BC444">
        <v>87</v>
      </c>
      <c r="BD444" t="s">
        <v>74</v>
      </c>
      <c r="BE444" t="s">
        <v>4804</v>
      </c>
      <c r="BF444" t="str">
        <f>HYPERLINK("http://dx.doi.org/10.1007/s10989-007-9108-x","http://dx.doi.org/10.1007/s10989-007-9108-x")</f>
        <v>http://dx.doi.org/10.1007/s10989-007-9108-x</v>
      </c>
      <c r="BG444" t="s">
        <v>74</v>
      </c>
      <c r="BH444" t="s">
        <v>74</v>
      </c>
      <c r="BI444">
        <v>7</v>
      </c>
      <c r="BJ444" t="s">
        <v>4071</v>
      </c>
      <c r="BK444" t="s">
        <v>419</v>
      </c>
      <c r="BL444" t="s">
        <v>4071</v>
      </c>
      <c r="BM444" t="s">
        <v>4794</v>
      </c>
      <c r="BN444" t="s">
        <v>74</v>
      </c>
      <c r="BO444" t="s">
        <v>74</v>
      </c>
      <c r="BP444" t="s">
        <v>74</v>
      </c>
      <c r="BQ444" t="s">
        <v>74</v>
      </c>
      <c r="BR444" t="s">
        <v>101</v>
      </c>
      <c r="BS444" t="s">
        <v>4805</v>
      </c>
      <c r="BT444" t="str">
        <f>HYPERLINK("https%3A%2F%2Fwww.webofscience.com%2Fwos%2Fwoscc%2Ffull-record%2FWOS:000255878700002","View Full Record in Web of Science")</f>
        <v>View Full Record in Web of Science</v>
      </c>
    </row>
    <row r="445" spans="1:72" x14ac:dyDescent="0.15">
      <c r="A445" t="s">
        <v>72</v>
      </c>
      <c r="B445" t="s">
        <v>4806</v>
      </c>
      <c r="C445" t="s">
        <v>74</v>
      </c>
      <c r="D445" t="s">
        <v>74</v>
      </c>
      <c r="E445" t="s">
        <v>74</v>
      </c>
      <c r="F445" t="s">
        <v>4807</v>
      </c>
      <c r="G445" t="s">
        <v>74</v>
      </c>
      <c r="H445" t="s">
        <v>74</v>
      </c>
      <c r="I445" t="s">
        <v>4808</v>
      </c>
      <c r="J445" t="s">
        <v>4780</v>
      </c>
      <c r="K445" t="s">
        <v>74</v>
      </c>
      <c r="L445" t="s">
        <v>74</v>
      </c>
      <c r="M445" t="s">
        <v>78</v>
      </c>
      <c r="N445" t="s">
        <v>2737</v>
      </c>
      <c r="O445" t="s">
        <v>74</v>
      </c>
      <c r="P445" t="s">
        <v>74</v>
      </c>
      <c r="Q445" t="s">
        <v>74</v>
      </c>
      <c r="R445" t="s">
        <v>74</v>
      </c>
      <c r="S445" t="s">
        <v>74</v>
      </c>
      <c r="T445" t="s">
        <v>4809</v>
      </c>
      <c r="U445" t="s">
        <v>4810</v>
      </c>
      <c r="V445" t="s">
        <v>4811</v>
      </c>
      <c r="W445" t="s">
        <v>4812</v>
      </c>
      <c r="X445" t="s">
        <v>4813</v>
      </c>
      <c r="Y445" t="s">
        <v>4814</v>
      </c>
      <c r="Z445" t="s">
        <v>4787</v>
      </c>
      <c r="AA445" t="s">
        <v>4788</v>
      </c>
      <c r="AB445" t="s">
        <v>74</v>
      </c>
      <c r="AC445" t="s">
        <v>74</v>
      </c>
      <c r="AD445" t="s">
        <v>74</v>
      </c>
      <c r="AE445" t="s">
        <v>74</v>
      </c>
      <c r="AF445" t="s">
        <v>74</v>
      </c>
      <c r="AG445">
        <v>61</v>
      </c>
      <c r="AH445">
        <v>10</v>
      </c>
      <c r="AI445">
        <v>11</v>
      </c>
      <c r="AJ445">
        <v>0</v>
      </c>
      <c r="AK445">
        <v>6</v>
      </c>
      <c r="AL445" t="s">
        <v>2746</v>
      </c>
      <c r="AM445" t="s">
        <v>2747</v>
      </c>
      <c r="AN445" t="s">
        <v>2748</v>
      </c>
      <c r="AO445" t="s">
        <v>4789</v>
      </c>
      <c r="AP445" t="s">
        <v>4790</v>
      </c>
      <c r="AQ445" t="s">
        <v>74</v>
      </c>
      <c r="AR445" t="s">
        <v>4791</v>
      </c>
      <c r="AS445" t="s">
        <v>4792</v>
      </c>
      <c r="AT445" t="s">
        <v>4117</v>
      </c>
      <c r="AU445">
        <v>2008</v>
      </c>
      <c r="AV445">
        <v>14</v>
      </c>
      <c r="AW445">
        <v>2</v>
      </c>
      <c r="AX445" t="s">
        <v>74</v>
      </c>
      <c r="AY445" t="s">
        <v>74</v>
      </c>
      <c r="AZ445" t="s">
        <v>74</v>
      </c>
      <c r="BA445" t="s">
        <v>74</v>
      </c>
      <c r="BB445">
        <v>113</v>
      </c>
      <c r="BC445">
        <v>120</v>
      </c>
      <c r="BD445" t="s">
        <v>74</v>
      </c>
      <c r="BE445" t="s">
        <v>4815</v>
      </c>
      <c r="BF445" t="str">
        <f>HYPERLINK("http://dx.doi.org/10.1007/s10989-007-9119-7","http://dx.doi.org/10.1007/s10989-007-9119-7")</f>
        <v>http://dx.doi.org/10.1007/s10989-007-9119-7</v>
      </c>
      <c r="BG445" t="s">
        <v>74</v>
      </c>
      <c r="BH445" t="s">
        <v>74</v>
      </c>
      <c r="BI445">
        <v>8</v>
      </c>
      <c r="BJ445" t="s">
        <v>4071</v>
      </c>
      <c r="BK445" t="s">
        <v>419</v>
      </c>
      <c r="BL445" t="s">
        <v>4071</v>
      </c>
      <c r="BM445" t="s">
        <v>4794</v>
      </c>
      <c r="BN445" t="s">
        <v>74</v>
      </c>
      <c r="BO445" t="s">
        <v>74</v>
      </c>
      <c r="BP445" t="s">
        <v>74</v>
      </c>
      <c r="BQ445" t="s">
        <v>74</v>
      </c>
      <c r="BR445" t="s">
        <v>101</v>
      </c>
      <c r="BS445" t="s">
        <v>4816</v>
      </c>
      <c r="BT445" t="str">
        <f>HYPERLINK("https%3A%2F%2Fwww.webofscience.com%2Fwos%2Fwoscc%2Ffull-record%2FWOS:000255878700006","View Full Record in Web of Science")</f>
        <v>View Full Record in Web of Science</v>
      </c>
    </row>
    <row r="446" spans="1:72" x14ac:dyDescent="0.15">
      <c r="A446" t="s">
        <v>72</v>
      </c>
      <c r="B446" t="s">
        <v>4817</v>
      </c>
      <c r="C446" t="s">
        <v>74</v>
      </c>
      <c r="D446" t="s">
        <v>74</v>
      </c>
      <c r="E446" t="s">
        <v>74</v>
      </c>
      <c r="F446" t="s">
        <v>4818</v>
      </c>
      <c r="G446" t="s">
        <v>74</v>
      </c>
      <c r="H446" t="s">
        <v>74</v>
      </c>
      <c r="I446" t="s">
        <v>4819</v>
      </c>
      <c r="J446" t="s">
        <v>4820</v>
      </c>
      <c r="K446" t="s">
        <v>74</v>
      </c>
      <c r="L446" t="s">
        <v>74</v>
      </c>
      <c r="M446" t="s">
        <v>78</v>
      </c>
      <c r="N446" t="s">
        <v>2737</v>
      </c>
      <c r="O446" t="s">
        <v>74</v>
      </c>
      <c r="P446" t="s">
        <v>74</v>
      </c>
      <c r="Q446" t="s">
        <v>74</v>
      </c>
      <c r="R446" t="s">
        <v>74</v>
      </c>
      <c r="S446" t="s">
        <v>74</v>
      </c>
      <c r="T446" t="s">
        <v>74</v>
      </c>
      <c r="U446" t="s">
        <v>4821</v>
      </c>
      <c r="V446" t="s">
        <v>4822</v>
      </c>
      <c r="W446" t="s">
        <v>4823</v>
      </c>
      <c r="X446" t="s">
        <v>4824</v>
      </c>
      <c r="Y446" t="s">
        <v>4825</v>
      </c>
      <c r="Z446" t="s">
        <v>4826</v>
      </c>
      <c r="AA446" t="s">
        <v>4827</v>
      </c>
      <c r="AB446" t="s">
        <v>4828</v>
      </c>
      <c r="AC446" t="s">
        <v>74</v>
      </c>
      <c r="AD446" t="s">
        <v>74</v>
      </c>
      <c r="AE446" t="s">
        <v>74</v>
      </c>
      <c r="AF446" t="s">
        <v>74</v>
      </c>
      <c r="AG446">
        <v>18</v>
      </c>
      <c r="AH446">
        <v>45</v>
      </c>
      <c r="AI446">
        <v>50</v>
      </c>
      <c r="AJ446">
        <v>2</v>
      </c>
      <c r="AK446">
        <v>15</v>
      </c>
      <c r="AL446" t="s">
        <v>4829</v>
      </c>
      <c r="AM446" t="s">
        <v>4830</v>
      </c>
      <c r="AN446" t="s">
        <v>4831</v>
      </c>
      <c r="AO446" t="s">
        <v>4832</v>
      </c>
      <c r="AP446" t="s">
        <v>74</v>
      </c>
      <c r="AQ446" t="s">
        <v>74</v>
      </c>
      <c r="AR446" t="s">
        <v>4833</v>
      </c>
      <c r="AS446" t="s">
        <v>4834</v>
      </c>
      <c r="AT446" t="s">
        <v>4117</v>
      </c>
      <c r="AU446">
        <v>2008</v>
      </c>
      <c r="AV446">
        <v>58</v>
      </c>
      <c r="AW446" t="s">
        <v>74</v>
      </c>
      <c r="AX446">
        <v>6</v>
      </c>
      <c r="AY446" t="s">
        <v>74</v>
      </c>
      <c r="AZ446" t="s">
        <v>74</v>
      </c>
      <c r="BA446" t="s">
        <v>74</v>
      </c>
      <c r="BB446">
        <v>1346</v>
      </c>
      <c r="BC446">
        <v>1349</v>
      </c>
      <c r="BD446" t="s">
        <v>74</v>
      </c>
      <c r="BE446" t="s">
        <v>4835</v>
      </c>
      <c r="BF446" t="str">
        <f>HYPERLINK("http://dx.doi.org/10.1099/ijs.0.65298-0","http://dx.doi.org/10.1099/ijs.0.65298-0")</f>
        <v>http://dx.doi.org/10.1099/ijs.0.65298-0</v>
      </c>
      <c r="BG446" t="s">
        <v>74</v>
      </c>
      <c r="BH446" t="s">
        <v>74</v>
      </c>
      <c r="BI446">
        <v>4</v>
      </c>
      <c r="BJ446" t="s">
        <v>4689</v>
      </c>
      <c r="BK446" t="s">
        <v>419</v>
      </c>
      <c r="BL446" t="s">
        <v>4689</v>
      </c>
      <c r="BM446" t="s">
        <v>4836</v>
      </c>
      <c r="BN446">
        <v>18523176</v>
      </c>
      <c r="BO446" t="s">
        <v>3290</v>
      </c>
      <c r="BP446" t="s">
        <v>74</v>
      </c>
      <c r="BQ446" t="s">
        <v>74</v>
      </c>
      <c r="BR446" t="s">
        <v>101</v>
      </c>
      <c r="BS446" t="s">
        <v>4837</v>
      </c>
      <c r="BT446" t="str">
        <f>HYPERLINK("https%3A%2F%2Fwww.webofscience.com%2Fwos%2Fwoscc%2Ffull-record%2FWOS:000257277200013","View Full Record in Web of Science")</f>
        <v>View Full Record in Web of Science</v>
      </c>
    </row>
    <row r="447" spans="1:72" x14ac:dyDescent="0.15">
      <c r="A447" t="s">
        <v>72</v>
      </c>
      <c r="B447" t="s">
        <v>4838</v>
      </c>
      <c r="C447" t="s">
        <v>74</v>
      </c>
      <c r="D447" t="s">
        <v>74</v>
      </c>
      <c r="E447" t="s">
        <v>74</v>
      </c>
      <c r="F447" t="s">
        <v>4839</v>
      </c>
      <c r="G447" t="s">
        <v>74</v>
      </c>
      <c r="H447" t="s">
        <v>74</v>
      </c>
      <c r="I447" t="s">
        <v>4840</v>
      </c>
      <c r="J447" t="s">
        <v>4841</v>
      </c>
      <c r="K447" t="s">
        <v>74</v>
      </c>
      <c r="L447" t="s">
        <v>74</v>
      </c>
      <c r="M447" t="s">
        <v>78</v>
      </c>
      <c r="N447" t="s">
        <v>2737</v>
      </c>
      <c r="O447" t="s">
        <v>74</v>
      </c>
      <c r="P447" t="s">
        <v>74</v>
      </c>
      <c r="Q447" t="s">
        <v>74</v>
      </c>
      <c r="R447" t="s">
        <v>74</v>
      </c>
      <c r="S447" t="s">
        <v>74</v>
      </c>
      <c r="T447" t="s">
        <v>74</v>
      </c>
      <c r="U447" t="s">
        <v>4842</v>
      </c>
      <c r="V447" t="s">
        <v>74</v>
      </c>
      <c r="W447" t="s">
        <v>4843</v>
      </c>
      <c r="X447" t="s">
        <v>4844</v>
      </c>
      <c r="Y447" t="s">
        <v>4845</v>
      </c>
      <c r="Z447" t="s">
        <v>4846</v>
      </c>
      <c r="AA447" t="s">
        <v>4847</v>
      </c>
      <c r="AB447" t="s">
        <v>4848</v>
      </c>
      <c r="AC447" t="s">
        <v>74</v>
      </c>
      <c r="AD447" t="s">
        <v>74</v>
      </c>
      <c r="AE447" t="s">
        <v>74</v>
      </c>
      <c r="AF447" t="s">
        <v>74</v>
      </c>
      <c r="AG447">
        <v>49</v>
      </c>
      <c r="AH447">
        <v>45</v>
      </c>
      <c r="AI447">
        <v>45</v>
      </c>
      <c r="AJ447">
        <v>0</v>
      </c>
      <c r="AK447">
        <v>1</v>
      </c>
      <c r="AL447" t="s">
        <v>2815</v>
      </c>
      <c r="AM447" t="s">
        <v>2816</v>
      </c>
      <c r="AN447" t="s">
        <v>2817</v>
      </c>
      <c r="AO447" t="s">
        <v>4849</v>
      </c>
      <c r="AP447" t="s">
        <v>4850</v>
      </c>
      <c r="AQ447" t="s">
        <v>74</v>
      </c>
      <c r="AR447" t="s">
        <v>4851</v>
      </c>
      <c r="AS447" t="s">
        <v>4852</v>
      </c>
      <c r="AT447" t="s">
        <v>4117</v>
      </c>
      <c r="AU447">
        <v>2008</v>
      </c>
      <c r="AV447">
        <v>30</v>
      </c>
      <c r="AW447" t="s">
        <v>74</v>
      </c>
      <c r="AX447">
        <v>2</v>
      </c>
      <c r="AY447" t="s">
        <v>74</v>
      </c>
      <c r="AZ447" t="s">
        <v>74</v>
      </c>
      <c r="BA447" t="s">
        <v>74</v>
      </c>
      <c r="BB447">
        <v>161</v>
      </c>
      <c r="BC447">
        <v>167</v>
      </c>
      <c r="BD447" t="s">
        <v>74</v>
      </c>
      <c r="BE447" t="s">
        <v>4853</v>
      </c>
      <c r="BF447" t="str">
        <f>HYPERLINK("http://dx.doi.org/10.1179/174328208X282463","http://dx.doi.org/10.1179/174328208X282463")</f>
        <v>http://dx.doi.org/10.1179/174328208X282463</v>
      </c>
      <c r="BG447" t="s">
        <v>74</v>
      </c>
      <c r="BH447" t="s">
        <v>74</v>
      </c>
      <c r="BI447">
        <v>8</v>
      </c>
      <c r="BJ447" t="s">
        <v>2857</v>
      </c>
      <c r="BK447" t="s">
        <v>419</v>
      </c>
      <c r="BL447" t="s">
        <v>2857</v>
      </c>
      <c r="BM447" t="s">
        <v>4854</v>
      </c>
      <c r="BN447" t="s">
        <v>74</v>
      </c>
      <c r="BO447" t="s">
        <v>74</v>
      </c>
      <c r="BP447" t="s">
        <v>74</v>
      </c>
      <c r="BQ447" t="s">
        <v>74</v>
      </c>
      <c r="BR447" t="s">
        <v>101</v>
      </c>
      <c r="BS447" t="s">
        <v>4855</v>
      </c>
      <c r="BT447" t="str">
        <f>HYPERLINK("https%3A%2F%2Fwww.webofscience.com%2Fwos%2Fwoscc%2Ffull-record%2FWOS:000258411100009","View Full Record in Web of Science")</f>
        <v>View Full Record in Web of Science</v>
      </c>
    </row>
    <row r="448" spans="1:72" x14ac:dyDescent="0.15">
      <c r="A448" t="s">
        <v>72</v>
      </c>
      <c r="B448" t="s">
        <v>4856</v>
      </c>
      <c r="C448" t="s">
        <v>74</v>
      </c>
      <c r="D448" t="s">
        <v>74</v>
      </c>
      <c r="E448" t="s">
        <v>74</v>
      </c>
      <c r="F448" t="s">
        <v>4857</v>
      </c>
      <c r="G448" t="s">
        <v>74</v>
      </c>
      <c r="H448" t="s">
        <v>74</v>
      </c>
      <c r="I448" t="s">
        <v>4858</v>
      </c>
      <c r="J448" t="s">
        <v>3706</v>
      </c>
      <c r="K448" t="s">
        <v>74</v>
      </c>
      <c r="L448" t="s">
        <v>74</v>
      </c>
      <c r="M448" t="s">
        <v>78</v>
      </c>
      <c r="N448" t="s">
        <v>2737</v>
      </c>
      <c r="O448" t="s">
        <v>74</v>
      </c>
      <c r="P448" t="s">
        <v>74</v>
      </c>
      <c r="Q448" t="s">
        <v>74</v>
      </c>
      <c r="R448" t="s">
        <v>74</v>
      </c>
      <c r="S448" t="s">
        <v>74</v>
      </c>
      <c r="T448" t="s">
        <v>74</v>
      </c>
      <c r="U448" t="s">
        <v>4859</v>
      </c>
      <c r="V448" t="s">
        <v>4860</v>
      </c>
      <c r="W448" t="s">
        <v>4861</v>
      </c>
      <c r="X448" t="s">
        <v>4862</v>
      </c>
      <c r="Y448" t="s">
        <v>4863</v>
      </c>
      <c r="Z448" t="s">
        <v>4864</v>
      </c>
      <c r="AA448" t="s">
        <v>4865</v>
      </c>
      <c r="AB448" t="s">
        <v>4866</v>
      </c>
      <c r="AC448" t="s">
        <v>4867</v>
      </c>
      <c r="AD448" t="s">
        <v>2792</v>
      </c>
      <c r="AE448" t="s">
        <v>74</v>
      </c>
      <c r="AF448" t="s">
        <v>74</v>
      </c>
      <c r="AG448">
        <v>53</v>
      </c>
      <c r="AH448">
        <v>199</v>
      </c>
      <c r="AI448">
        <v>211</v>
      </c>
      <c r="AJ448">
        <v>0</v>
      </c>
      <c r="AK448">
        <v>38</v>
      </c>
      <c r="AL448" t="s">
        <v>3716</v>
      </c>
      <c r="AM448" t="s">
        <v>3717</v>
      </c>
      <c r="AN448" t="s">
        <v>3738</v>
      </c>
      <c r="AO448" t="s">
        <v>3719</v>
      </c>
      <c r="AP448" t="s">
        <v>3720</v>
      </c>
      <c r="AQ448" t="s">
        <v>74</v>
      </c>
      <c r="AR448" t="s">
        <v>3721</v>
      </c>
      <c r="AS448" t="s">
        <v>3722</v>
      </c>
      <c r="AT448" t="s">
        <v>4117</v>
      </c>
      <c r="AU448">
        <v>2008</v>
      </c>
      <c r="AV448">
        <v>21</v>
      </c>
      <c r="AW448">
        <v>11</v>
      </c>
      <c r="AX448" t="s">
        <v>74</v>
      </c>
      <c r="AY448" t="s">
        <v>74</v>
      </c>
      <c r="AZ448" t="s">
        <v>74</v>
      </c>
      <c r="BA448" t="s">
        <v>74</v>
      </c>
      <c r="BB448">
        <v>2558</v>
      </c>
      <c r="BC448">
        <v>2572</v>
      </c>
      <c r="BD448" t="s">
        <v>74</v>
      </c>
      <c r="BE448" t="s">
        <v>4868</v>
      </c>
      <c r="BF448" t="str">
        <f>HYPERLINK("http://dx.doi.org/10.1175/2007JCLI1909.1","http://dx.doi.org/10.1175/2007JCLI1909.1")</f>
        <v>http://dx.doi.org/10.1175/2007JCLI1909.1</v>
      </c>
      <c r="BG448" t="s">
        <v>74</v>
      </c>
      <c r="BH448" t="s">
        <v>74</v>
      </c>
      <c r="BI448">
        <v>15</v>
      </c>
      <c r="BJ448" t="s">
        <v>3071</v>
      </c>
      <c r="BK448" t="s">
        <v>419</v>
      </c>
      <c r="BL448" t="s">
        <v>3071</v>
      </c>
      <c r="BM448" t="s">
        <v>4869</v>
      </c>
      <c r="BN448" t="s">
        <v>74</v>
      </c>
      <c r="BO448" t="s">
        <v>4870</v>
      </c>
      <c r="BP448" t="s">
        <v>74</v>
      </c>
      <c r="BQ448" t="s">
        <v>74</v>
      </c>
      <c r="BR448" t="s">
        <v>101</v>
      </c>
      <c r="BS448" t="s">
        <v>4871</v>
      </c>
      <c r="BT448" t="str">
        <f>HYPERLINK("https%3A%2F%2Fwww.webofscience.com%2Fwos%2Fwoscc%2Ffull-record%2FWOS:000256623200014","View Full Record in Web of Science")</f>
        <v>View Full Record in Web of Science</v>
      </c>
    </row>
    <row r="449" spans="1:72" x14ac:dyDescent="0.15">
      <c r="A449" t="s">
        <v>72</v>
      </c>
      <c r="B449" t="s">
        <v>4872</v>
      </c>
      <c r="C449" t="s">
        <v>74</v>
      </c>
      <c r="D449" t="s">
        <v>74</v>
      </c>
      <c r="E449" t="s">
        <v>74</v>
      </c>
      <c r="F449" t="s">
        <v>4873</v>
      </c>
      <c r="G449" t="s">
        <v>74</v>
      </c>
      <c r="H449" t="s">
        <v>74</v>
      </c>
      <c r="I449" t="s">
        <v>4874</v>
      </c>
      <c r="J449" t="s">
        <v>4875</v>
      </c>
      <c r="K449" t="s">
        <v>74</v>
      </c>
      <c r="L449" t="s">
        <v>74</v>
      </c>
      <c r="M449" t="s">
        <v>78</v>
      </c>
      <c r="N449" t="s">
        <v>2958</v>
      </c>
      <c r="O449" t="s">
        <v>74</v>
      </c>
      <c r="P449" t="s">
        <v>74</v>
      </c>
      <c r="Q449" t="s">
        <v>74</v>
      </c>
      <c r="R449" t="s">
        <v>74</v>
      </c>
      <c r="S449" t="s">
        <v>74</v>
      </c>
      <c r="T449" t="s">
        <v>4876</v>
      </c>
      <c r="U449" t="s">
        <v>4877</v>
      </c>
      <c r="V449" t="s">
        <v>4878</v>
      </c>
      <c r="W449" t="s">
        <v>4879</v>
      </c>
      <c r="X449" t="s">
        <v>4880</v>
      </c>
      <c r="Y449" t="s">
        <v>4881</v>
      </c>
      <c r="Z449" t="s">
        <v>4882</v>
      </c>
      <c r="AA449" t="s">
        <v>74</v>
      </c>
      <c r="AB449" t="s">
        <v>74</v>
      </c>
      <c r="AC449" t="s">
        <v>74</v>
      </c>
      <c r="AD449" t="s">
        <v>74</v>
      </c>
      <c r="AE449" t="s">
        <v>74</v>
      </c>
      <c r="AF449" t="s">
        <v>74</v>
      </c>
      <c r="AG449">
        <v>90</v>
      </c>
      <c r="AH449">
        <v>176</v>
      </c>
      <c r="AI449">
        <v>192</v>
      </c>
      <c r="AJ449">
        <v>3</v>
      </c>
      <c r="AK449">
        <v>124</v>
      </c>
      <c r="AL449" t="s">
        <v>4883</v>
      </c>
      <c r="AM449" t="s">
        <v>4364</v>
      </c>
      <c r="AN449" t="s">
        <v>4884</v>
      </c>
      <c r="AO449" t="s">
        <v>4885</v>
      </c>
      <c r="AP449" t="s">
        <v>4886</v>
      </c>
      <c r="AQ449" t="s">
        <v>74</v>
      </c>
      <c r="AR449" t="s">
        <v>4887</v>
      </c>
      <c r="AS449" t="s">
        <v>4888</v>
      </c>
      <c r="AT449" t="s">
        <v>4626</v>
      </c>
      <c r="AU449">
        <v>2008</v>
      </c>
      <c r="AV449">
        <v>211</v>
      </c>
      <c r="AW449">
        <v>11</v>
      </c>
      <c r="AX449" t="s">
        <v>74</v>
      </c>
      <c r="AY449" t="s">
        <v>74</v>
      </c>
      <c r="AZ449" t="s">
        <v>74</v>
      </c>
      <c r="BA449" t="s">
        <v>74</v>
      </c>
      <c r="BB449">
        <v>1706</v>
      </c>
      <c r="BC449">
        <v>1713</v>
      </c>
      <c r="BD449" t="s">
        <v>74</v>
      </c>
      <c r="BE449" t="s">
        <v>4889</v>
      </c>
      <c r="BF449" t="str">
        <f>HYPERLINK("http://dx.doi.org/10.1242/jeb.015412","http://dx.doi.org/10.1242/jeb.015412")</f>
        <v>http://dx.doi.org/10.1242/jeb.015412</v>
      </c>
      <c r="BG449" t="s">
        <v>74</v>
      </c>
      <c r="BH449" t="s">
        <v>74</v>
      </c>
      <c r="BI449">
        <v>8</v>
      </c>
      <c r="BJ449" t="s">
        <v>4890</v>
      </c>
      <c r="BK449" t="s">
        <v>419</v>
      </c>
      <c r="BL449" t="s">
        <v>4891</v>
      </c>
      <c r="BM449" t="s">
        <v>4892</v>
      </c>
      <c r="BN449">
        <v>18490385</v>
      </c>
      <c r="BO449" t="s">
        <v>74</v>
      </c>
      <c r="BP449" t="s">
        <v>74</v>
      </c>
      <c r="BQ449" t="s">
        <v>74</v>
      </c>
      <c r="BR449" t="s">
        <v>101</v>
      </c>
      <c r="BS449" t="s">
        <v>4893</v>
      </c>
      <c r="BT449" t="str">
        <f>HYPERLINK("https%3A%2F%2Fwww.webofscience.com%2Fwos%2Fwoscc%2Ffull-record%2FWOS:000256069200009","View Full Record in Web of Science")</f>
        <v>View Full Record in Web of Science</v>
      </c>
    </row>
    <row r="450" spans="1:72" x14ac:dyDescent="0.15">
      <c r="A450" t="s">
        <v>72</v>
      </c>
      <c r="B450" t="s">
        <v>4894</v>
      </c>
      <c r="C450" t="s">
        <v>74</v>
      </c>
      <c r="D450" t="s">
        <v>74</v>
      </c>
      <c r="E450" t="s">
        <v>74</v>
      </c>
      <c r="F450" t="s">
        <v>4895</v>
      </c>
      <c r="G450" t="s">
        <v>74</v>
      </c>
      <c r="H450" t="s">
        <v>74</v>
      </c>
      <c r="I450" t="s">
        <v>4896</v>
      </c>
      <c r="J450" t="s">
        <v>4897</v>
      </c>
      <c r="K450" t="s">
        <v>74</v>
      </c>
      <c r="L450" t="s">
        <v>74</v>
      </c>
      <c r="M450" t="s">
        <v>78</v>
      </c>
      <c r="N450" t="s">
        <v>2737</v>
      </c>
      <c r="O450" t="s">
        <v>74</v>
      </c>
      <c r="P450" t="s">
        <v>74</v>
      </c>
      <c r="Q450" t="s">
        <v>74</v>
      </c>
      <c r="R450" t="s">
        <v>74</v>
      </c>
      <c r="S450" t="s">
        <v>74</v>
      </c>
      <c r="T450" t="s">
        <v>4898</v>
      </c>
      <c r="U450" t="s">
        <v>4899</v>
      </c>
      <c r="V450" t="s">
        <v>4900</v>
      </c>
      <c r="W450" t="s">
        <v>4901</v>
      </c>
      <c r="X450" t="s">
        <v>4902</v>
      </c>
      <c r="Y450" t="s">
        <v>4903</v>
      </c>
      <c r="Z450" t="s">
        <v>4904</v>
      </c>
      <c r="AA450" t="s">
        <v>4905</v>
      </c>
      <c r="AB450" t="s">
        <v>4906</v>
      </c>
      <c r="AC450" t="s">
        <v>74</v>
      </c>
      <c r="AD450" t="s">
        <v>74</v>
      </c>
      <c r="AE450" t="s">
        <v>74</v>
      </c>
      <c r="AF450" t="s">
        <v>74</v>
      </c>
      <c r="AG450">
        <v>66</v>
      </c>
      <c r="AH450">
        <v>22</v>
      </c>
      <c r="AI450">
        <v>25</v>
      </c>
      <c r="AJ450">
        <v>1</v>
      </c>
      <c r="AK450">
        <v>15</v>
      </c>
      <c r="AL450" t="s">
        <v>4907</v>
      </c>
      <c r="AM450" t="s">
        <v>4908</v>
      </c>
      <c r="AN450" t="s">
        <v>4909</v>
      </c>
      <c r="AO450" t="s">
        <v>4910</v>
      </c>
      <c r="AP450" t="s">
        <v>4911</v>
      </c>
      <c r="AQ450" t="s">
        <v>74</v>
      </c>
      <c r="AR450" t="s">
        <v>4912</v>
      </c>
      <c r="AS450" t="s">
        <v>4913</v>
      </c>
      <c r="AT450" t="s">
        <v>4117</v>
      </c>
      <c r="AU450">
        <v>2008</v>
      </c>
      <c r="AV450">
        <v>89</v>
      </c>
      <c r="AW450">
        <v>3</v>
      </c>
      <c r="AX450" t="s">
        <v>74</v>
      </c>
      <c r="AY450" t="s">
        <v>74</v>
      </c>
      <c r="AZ450" t="s">
        <v>74</v>
      </c>
      <c r="BA450" t="s">
        <v>74</v>
      </c>
      <c r="BB450">
        <v>567</v>
      </c>
      <c r="BC450">
        <v>574</v>
      </c>
      <c r="BD450" t="s">
        <v>74</v>
      </c>
      <c r="BE450" t="s">
        <v>4914</v>
      </c>
      <c r="BF450" t="str">
        <f>HYPERLINK("http://dx.doi.org/10.1644/07-MAMM-A-219R.1","http://dx.doi.org/10.1644/07-MAMM-A-219R.1")</f>
        <v>http://dx.doi.org/10.1644/07-MAMM-A-219R.1</v>
      </c>
      <c r="BG450" t="s">
        <v>74</v>
      </c>
      <c r="BH450" t="s">
        <v>74</v>
      </c>
      <c r="BI450">
        <v>8</v>
      </c>
      <c r="BJ450" t="s">
        <v>3203</v>
      </c>
      <c r="BK450" t="s">
        <v>419</v>
      </c>
      <c r="BL450" t="s">
        <v>3203</v>
      </c>
      <c r="BM450" t="s">
        <v>4915</v>
      </c>
      <c r="BN450" t="s">
        <v>74</v>
      </c>
      <c r="BO450" t="s">
        <v>3290</v>
      </c>
      <c r="BP450" t="s">
        <v>74</v>
      </c>
      <c r="BQ450" t="s">
        <v>74</v>
      </c>
      <c r="BR450" t="s">
        <v>101</v>
      </c>
      <c r="BS450" t="s">
        <v>4916</v>
      </c>
      <c r="BT450" t="str">
        <f>HYPERLINK("https%3A%2F%2Fwww.webofscience.com%2Fwos%2Fwoscc%2Ffull-record%2FWOS:000256553100006","View Full Record in Web of Science")</f>
        <v>View Full Record in Web of Science</v>
      </c>
    </row>
    <row r="451" spans="1:72" x14ac:dyDescent="0.15">
      <c r="A451" t="s">
        <v>72</v>
      </c>
      <c r="B451" t="s">
        <v>4917</v>
      </c>
      <c r="C451" t="s">
        <v>74</v>
      </c>
      <c r="D451" t="s">
        <v>74</v>
      </c>
      <c r="E451" t="s">
        <v>74</v>
      </c>
      <c r="F451" t="s">
        <v>4918</v>
      </c>
      <c r="G451" t="s">
        <v>74</v>
      </c>
      <c r="H451" t="s">
        <v>74</v>
      </c>
      <c r="I451" t="s">
        <v>4919</v>
      </c>
      <c r="J451" t="s">
        <v>4920</v>
      </c>
      <c r="K451" t="s">
        <v>74</v>
      </c>
      <c r="L451" t="s">
        <v>74</v>
      </c>
      <c r="M451" t="s">
        <v>78</v>
      </c>
      <c r="N451" t="s">
        <v>2737</v>
      </c>
      <c r="O451" t="s">
        <v>74</v>
      </c>
      <c r="P451" t="s">
        <v>74</v>
      </c>
      <c r="Q451" t="s">
        <v>74</v>
      </c>
      <c r="R451" t="s">
        <v>74</v>
      </c>
      <c r="S451" t="s">
        <v>74</v>
      </c>
      <c r="T451" t="s">
        <v>4921</v>
      </c>
      <c r="U451" t="s">
        <v>4922</v>
      </c>
      <c r="V451" t="s">
        <v>4923</v>
      </c>
      <c r="W451" t="s">
        <v>4924</v>
      </c>
      <c r="X451" t="s">
        <v>4925</v>
      </c>
      <c r="Y451" t="s">
        <v>4926</v>
      </c>
      <c r="Z451" t="s">
        <v>4927</v>
      </c>
      <c r="AA451" t="s">
        <v>4928</v>
      </c>
      <c r="AB451" t="s">
        <v>4929</v>
      </c>
      <c r="AC451" t="s">
        <v>74</v>
      </c>
      <c r="AD451" t="s">
        <v>74</v>
      </c>
      <c r="AE451" t="s">
        <v>74</v>
      </c>
      <c r="AF451" t="s">
        <v>74</v>
      </c>
      <c r="AG451">
        <v>42</v>
      </c>
      <c r="AH451">
        <v>21</v>
      </c>
      <c r="AI451">
        <v>24</v>
      </c>
      <c r="AJ451">
        <v>0</v>
      </c>
      <c r="AK451">
        <v>2</v>
      </c>
      <c r="AL451" t="s">
        <v>4930</v>
      </c>
      <c r="AM451" t="s">
        <v>4661</v>
      </c>
      <c r="AN451" t="s">
        <v>4931</v>
      </c>
      <c r="AO451" t="s">
        <v>4932</v>
      </c>
      <c r="AP451" t="s">
        <v>4933</v>
      </c>
      <c r="AQ451" t="s">
        <v>74</v>
      </c>
      <c r="AR451" t="s">
        <v>4934</v>
      </c>
      <c r="AS451" t="s">
        <v>4935</v>
      </c>
      <c r="AT451" t="s">
        <v>4117</v>
      </c>
      <c r="AU451">
        <v>2008</v>
      </c>
      <c r="AV451">
        <v>18</v>
      </c>
      <c r="AW451">
        <v>6</v>
      </c>
      <c r="AX451" t="s">
        <v>74</v>
      </c>
      <c r="AY451" t="s">
        <v>74</v>
      </c>
      <c r="AZ451" t="s">
        <v>74</v>
      </c>
      <c r="BA451" t="s">
        <v>74</v>
      </c>
      <c r="BB451">
        <v>1016</v>
      </c>
      <c r="BC451">
        <v>1023</v>
      </c>
      <c r="BD451" t="s">
        <v>74</v>
      </c>
      <c r="BE451" t="s">
        <v>74</v>
      </c>
      <c r="BF451" t="s">
        <v>74</v>
      </c>
      <c r="BG451" t="s">
        <v>74</v>
      </c>
      <c r="BH451" t="s">
        <v>74</v>
      </c>
      <c r="BI451">
        <v>8</v>
      </c>
      <c r="BJ451" t="s">
        <v>4936</v>
      </c>
      <c r="BK451" t="s">
        <v>419</v>
      </c>
      <c r="BL451" t="s">
        <v>4936</v>
      </c>
      <c r="BM451" t="s">
        <v>4937</v>
      </c>
      <c r="BN451">
        <v>18600041</v>
      </c>
      <c r="BO451" t="s">
        <v>74</v>
      </c>
      <c r="BP451" t="s">
        <v>74</v>
      </c>
      <c r="BQ451" t="s">
        <v>74</v>
      </c>
      <c r="BR451" t="s">
        <v>101</v>
      </c>
      <c r="BS451" t="s">
        <v>4938</v>
      </c>
      <c r="BT451" t="str">
        <f>HYPERLINK("https%3A%2F%2Fwww.webofscience.com%2Fwos%2Fwoscc%2Ffull-record%2FWOS:000257212000003","View Full Record in Web of Science")</f>
        <v>View Full Record in Web of Science</v>
      </c>
    </row>
    <row r="452" spans="1:72" x14ac:dyDescent="0.15">
      <c r="A452" t="s">
        <v>72</v>
      </c>
      <c r="B452" t="s">
        <v>4939</v>
      </c>
      <c r="C452" t="s">
        <v>74</v>
      </c>
      <c r="D452" t="s">
        <v>74</v>
      </c>
      <c r="E452" t="s">
        <v>74</v>
      </c>
      <c r="F452" t="s">
        <v>4940</v>
      </c>
      <c r="G452" t="s">
        <v>74</v>
      </c>
      <c r="H452" t="s">
        <v>74</v>
      </c>
      <c r="I452" t="s">
        <v>4941</v>
      </c>
      <c r="J452" t="s">
        <v>4942</v>
      </c>
      <c r="K452" t="s">
        <v>74</v>
      </c>
      <c r="L452" t="s">
        <v>74</v>
      </c>
      <c r="M452" t="s">
        <v>78</v>
      </c>
      <c r="N452" t="s">
        <v>2737</v>
      </c>
      <c r="O452" t="s">
        <v>74</v>
      </c>
      <c r="P452" t="s">
        <v>74</v>
      </c>
      <c r="Q452" t="s">
        <v>74</v>
      </c>
      <c r="R452" t="s">
        <v>74</v>
      </c>
      <c r="S452" t="s">
        <v>74</v>
      </c>
      <c r="T452" t="s">
        <v>4943</v>
      </c>
      <c r="U452" t="s">
        <v>4944</v>
      </c>
      <c r="V452" t="s">
        <v>4945</v>
      </c>
      <c r="W452" t="s">
        <v>4946</v>
      </c>
      <c r="X452" t="s">
        <v>4947</v>
      </c>
      <c r="Y452" t="s">
        <v>4948</v>
      </c>
      <c r="Z452" t="s">
        <v>4949</v>
      </c>
      <c r="AA452" t="s">
        <v>74</v>
      </c>
      <c r="AB452" t="s">
        <v>74</v>
      </c>
      <c r="AC452" t="s">
        <v>74</v>
      </c>
      <c r="AD452" t="s">
        <v>74</v>
      </c>
      <c r="AE452" t="s">
        <v>74</v>
      </c>
      <c r="AF452" t="s">
        <v>74</v>
      </c>
      <c r="AG452">
        <v>51</v>
      </c>
      <c r="AH452">
        <v>12</v>
      </c>
      <c r="AI452">
        <v>14</v>
      </c>
      <c r="AJ452">
        <v>4</v>
      </c>
      <c r="AK452">
        <v>18</v>
      </c>
      <c r="AL452" t="s">
        <v>4950</v>
      </c>
      <c r="AM452" t="s">
        <v>4951</v>
      </c>
      <c r="AN452" t="s">
        <v>4952</v>
      </c>
      <c r="AO452" t="s">
        <v>4953</v>
      </c>
      <c r="AP452" t="s">
        <v>4954</v>
      </c>
      <c r="AQ452" t="s">
        <v>74</v>
      </c>
      <c r="AR452" t="s">
        <v>4955</v>
      </c>
      <c r="AS452" t="s">
        <v>4956</v>
      </c>
      <c r="AT452" t="s">
        <v>4117</v>
      </c>
      <c r="AU452">
        <v>2008</v>
      </c>
      <c r="AV452">
        <v>103</v>
      </c>
      <c r="AW452">
        <v>3</v>
      </c>
      <c r="AX452" t="s">
        <v>74</v>
      </c>
      <c r="AY452" t="s">
        <v>74</v>
      </c>
      <c r="AZ452" t="s">
        <v>74</v>
      </c>
      <c r="BA452" t="s">
        <v>74</v>
      </c>
      <c r="BB452">
        <v>173</v>
      </c>
      <c r="BC452">
        <v>182</v>
      </c>
      <c r="BD452" t="s">
        <v>74</v>
      </c>
      <c r="BE452" t="s">
        <v>4957</v>
      </c>
      <c r="BF452" t="str">
        <f>HYPERLINK("http://dx.doi.org/10.2465/jmps.070301","http://dx.doi.org/10.2465/jmps.070301")</f>
        <v>http://dx.doi.org/10.2465/jmps.070301</v>
      </c>
      <c r="BG452" t="s">
        <v>74</v>
      </c>
      <c r="BH452" t="s">
        <v>74</v>
      </c>
      <c r="BI452">
        <v>10</v>
      </c>
      <c r="BJ452" t="s">
        <v>4958</v>
      </c>
      <c r="BK452" t="s">
        <v>419</v>
      </c>
      <c r="BL452" t="s">
        <v>4958</v>
      </c>
      <c r="BM452" t="s">
        <v>4959</v>
      </c>
      <c r="BN452" t="s">
        <v>74</v>
      </c>
      <c r="BO452" t="s">
        <v>3290</v>
      </c>
      <c r="BP452" t="s">
        <v>74</v>
      </c>
      <c r="BQ452" t="s">
        <v>74</v>
      </c>
      <c r="BR452" t="s">
        <v>101</v>
      </c>
      <c r="BS452" t="s">
        <v>4960</v>
      </c>
      <c r="BT452" t="str">
        <f>HYPERLINK("https%3A%2F%2Fwww.webofscience.com%2Fwos%2Fwoscc%2Ffull-record%2FWOS:000257311300001","View Full Record in Web of Science")</f>
        <v>View Full Record in Web of Science</v>
      </c>
    </row>
    <row r="453" spans="1:72" x14ac:dyDescent="0.15">
      <c r="A453" t="s">
        <v>72</v>
      </c>
      <c r="B453" t="s">
        <v>4961</v>
      </c>
      <c r="C453" t="s">
        <v>74</v>
      </c>
      <c r="D453" t="s">
        <v>74</v>
      </c>
      <c r="E453" t="s">
        <v>74</v>
      </c>
      <c r="F453" t="s">
        <v>4962</v>
      </c>
      <c r="G453" t="s">
        <v>74</v>
      </c>
      <c r="H453" t="s">
        <v>74</v>
      </c>
      <c r="I453" t="s">
        <v>4963</v>
      </c>
      <c r="J453" t="s">
        <v>4964</v>
      </c>
      <c r="K453" t="s">
        <v>74</v>
      </c>
      <c r="L453" t="s">
        <v>74</v>
      </c>
      <c r="M453" t="s">
        <v>78</v>
      </c>
      <c r="N453" t="s">
        <v>2737</v>
      </c>
      <c r="O453" t="s">
        <v>74</v>
      </c>
      <c r="P453" t="s">
        <v>74</v>
      </c>
      <c r="Q453" t="s">
        <v>74</v>
      </c>
      <c r="R453" t="s">
        <v>74</v>
      </c>
      <c r="S453" t="s">
        <v>74</v>
      </c>
      <c r="T453" t="s">
        <v>4965</v>
      </c>
      <c r="U453" t="s">
        <v>4966</v>
      </c>
      <c r="V453" t="s">
        <v>4967</v>
      </c>
      <c r="W453" t="s">
        <v>4968</v>
      </c>
      <c r="X453" t="s">
        <v>4969</v>
      </c>
      <c r="Y453" t="s">
        <v>4970</v>
      </c>
      <c r="Z453" t="s">
        <v>4971</v>
      </c>
      <c r="AA453" t="s">
        <v>4972</v>
      </c>
      <c r="AB453" t="s">
        <v>4973</v>
      </c>
      <c r="AC453" t="s">
        <v>74</v>
      </c>
      <c r="AD453" t="s">
        <v>74</v>
      </c>
      <c r="AE453" t="s">
        <v>74</v>
      </c>
      <c r="AF453" t="s">
        <v>74</v>
      </c>
      <c r="AG453">
        <v>68</v>
      </c>
      <c r="AH453">
        <v>23</v>
      </c>
      <c r="AI453">
        <v>23</v>
      </c>
      <c r="AJ453">
        <v>0</v>
      </c>
      <c r="AK453">
        <v>17</v>
      </c>
      <c r="AL453" t="s">
        <v>88</v>
      </c>
      <c r="AM453" t="s">
        <v>89</v>
      </c>
      <c r="AN453" t="s">
        <v>90</v>
      </c>
      <c r="AO453" t="s">
        <v>4974</v>
      </c>
      <c r="AP453" t="s">
        <v>4975</v>
      </c>
      <c r="AQ453" t="s">
        <v>74</v>
      </c>
      <c r="AR453" t="s">
        <v>4976</v>
      </c>
      <c r="AS453" t="s">
        <v>4977</v>
      </c>
      <c r="AT453" t="s">
        <v>4117</v>
      </c>
      <c r="AU453">
        <v>2008</v>
      </c>
      <c r="AV453">
        <v>44</v>
      </c>
      <c r="AW453">
        <v>3</v>
      </c>
      <c r="AX453" t="s">
        <v>74</v>
      </c>
      <c r="AY453" t="s">
        <v>74</v>
      </c>
      <c r="AZ453" t="s">
        <v>74</v>
      </c>
      <c r="BA453" t="s">
        <v>74</v>
      </c>
      <c r="BB453">
        <v>592</v>
      </c>
      <c r="BC453">
        <v>604</v>
      </c>
      <c r="BD453" t="s">
        <v>74</v>
      </c>
      <c r="BE453" t="s">
        <v>4978</v>
      </c>
      <c r="BF453" t="str">
        <f>HYPERLINK("http://dx.doi.org/10.1111/j.1529-8817.2008.00517.x","http://dx.doi.org/10.1111/j.1529-8817.2008.00517.x")</f>
        <v>http://dx.doi.org/10.1111/j.1529-8817.2008.00517.x</v>
      </c>
      <c r="BG453" t="s">
        <v>74</v>
      </c>
      <c r="BH453" t="s">
        <v>74</v>
      </c>
      <c r="BI453">
        <v>13</v>
      </c>
      <c r="BJ453" t="s">
        <v>2822</v>
      </c>
      <c r="BK453" t="s">
        <v>419</v>
      </c>
      <c r="BL453" t="s">
        <v>2822</v>
      </c>
      <c r="BM453" t="s">
        <v>4979</v>
      </c>
      <c r="BN453">
        <v>27041419</v>
      </c>
      <c r="BO453" t="s">
        <v>74</v>
      </c>
      <c r="BP453" t="s">
        <v>74</v>
      </c>
      <c r="BQ453" t="s">
        <v>74</v>
      </c>
      <c r="BR453" t="s">
        <v>101</v>
      </c>
      <c r="BS453" t="s">
        <v>4980</v>
      </c>
      <c r="BT453" t="str">
        <f>HYPERLINK("https%3A%2F%2Fwww.webofscience.com%2Fwos%2Fwoscc%2Ffull-record%2FWOS:000256123700006","View Full Record in Web of Science")</f>
        <v>View Full Record in Web of Science</v>
      </c>
    </row>
    <row r="454" spans="1:72" x14ac:dyDescent="0.15">
      <c r="A454" t="s">
        <v>72</v>
      </c>
      <c r="B454" t="s">
        <v>4981</v>
      </c>
      <c r="C454" t="s">
        <v>74</v>
      </c>
      <c r="D454" t="s">
        <v>74</v>
      </c>
      <c r="E454" t="s">
        <v>74</v>
      </c>
      <c r="F454" t="s">
        <v>4982</v>
      </c>
      <c r="G454" t="s">
        <v>74</v>
      </c>
      <c r="H454" t="s">
        <v>74</v>
      </c>
      <c r="I454" t="s">
        <v>4983</v>
      </c>
      <c r="J454" t="s">
        <v>4984</v>
      </c>
      <c r="K454" t="s">
        <v>74</v>
      </c>
      <c r="L454" t="s">
        <v>74</v>
      </c>
      <c r="M454" t="s">
        <v>78</v>
      </c>
      <c r="N454" t="s">
        <v>2737</v>
      </c>
      <c r="O454" t="s">
        <v>74</v>
      </c>
      <c r="P454" t="s">
        <v>74</v>
      </c>
      <c r="Q454" t="s">
        <v>74</v>
      </c>
      <c r="R454" t="s">
        <v>74</v>
      </c>
      <c r="S454" t="s">
        <v>74</v>
      </c>
      <c r="T454" t="s">
        <v>74</v>
      </c>
      <c r="U454" t="s">
        <v>4985</v>
      </c>
      <c r="V454" t="s">
        <v>4986</v>
      </c>
      <c r="W454" t="s">
        <v>4987</v>
      </c>
      <c r="X454" t="s">
        <v>4988</v>
      </c>
      <c r="Y454" t="s">
        <v>4989</v>
      </c>
      <c r="Z454" t="s">
        <v>4990</v>
      </c>
      <c r="AA454" t="s">
        <v>74</v>
      </c>
      <c r="AB454" t="s">
        <v>74</v>
      </c>
      <c r="AC454" t="s">
        <v>74</v>
      </c>
      <c r="AD454" t="s">
        <v>74</v>
      </c>
      <c r="AE454" t="s">
        <v>74</v>
      </c>
      <c r="AF454" t="s">
        <v>74</v>
      </c>
      <c r="AG454">
        <v>20</v>
      </c>
      <c r="AH454">
        <v>28</v>
      </c>
      <c r="AI454">
        <v>30</v>
      </c>
      <c r="AJ454">
        <v>0</v>
      </c>
      <c r="AK454">
        <v>10</v>
      </c>
      <c r="AL454" t="s">
        <v>3716</v>
      </c>
      <c r="AM454" t="s">
        <v>3717</v>
      </c>
      <c r="AN454" t="s">
        <v>3738</v>
      </c>
      <c r="AO454" t="s">
        <v>4991</v>
      </c>
      <c r="AP454" t="s">
        <v>4992</v>
      </c>
      <c r="AQ454" t="s">
        <v>74</v>
      </c>
      <c r="AR454" t="s">
        <v>4993</v>
      </c>
      <c r="AS454" t="s">
        <v>4994</v>
      </c>
      <c r="AT454" t="s">
        <v>4117</v>
      </c>
      <c r="AU454">
        <v>2008</v>
      </c>
      <c r="AV454">
        <v>38</v>
      </c>
      <c r="AW454">
        <v>6</v>
      </c>
      <c r="AX454" t="s">
        <v>74</v>
      </c>
      <c r="AY454" t="s">
        <v>74</v>
      </c>
      <c r="AZ454" t="s">
        <v>74</v>
      </c>
      <c r="BA454" t="s">
        <v>74</v>
      </c>
      <c r="BB454">
        <v>1180</v>
      </c>
      <c r="BC454">
        <v>1202</v>
      </c>
      <c r="BD454" t="s">
        <v>74</v>
      </c>
      <c r="BE454" t="s">
        <v>4995</v>
      </c>
      <c r="BF454" t="str">
        <f>HYPERLINK("http://dx.doi.org/10.1175/2007JPO3835.1","http://dx.doi.org/10.1175/2007JPO3835.1")</f>
        <v>http://dx.doi.org/10.1175/2007JPO3835.1</v>
      </c>
      <c r="BG454" t="s">
        <v>74</v>
      </c>
      <c r="BH454" t="s">
        <v>74</v>
      </c>
      <c r="BI454">
        <v>23</v>
      </c>
      <c r="BJ454" t="s">
        <v>3447</v>
      </c>
      <c r="BK454" t="s">
        <v>419</v>
      </c>
      <c r="BL454" t="s">
        <v>3447</v>
      </c>
      <c r="BM454" t="s">
        <v>4996</v>
      </c>
      <c r="BN454" t="s">
        <v>74</v>
      </c>
      <c r="BO454" t="s">
        <v>3290</v>
      </c>
      <c r="BP454" t="s">
        <v>74</v>
      </c>
      <c r="BQ454" t="s">
        <v>74</v>
      </c>
      <c r="BR454" t="s">
        <v>101</v>
      </c>
      <c r="BS454" t="s">
        <v>4997</v>
      </c>
      <c r="BT454" t="str">
        <f>HYPERLINK("https%3A%2F%2Fwww.webofscience.com%2Fwos%2Fwoscc%2Ffull-record%2FWOS:000257026900003","View Full Record in Web of Science")</f>
        <v>View Full Record in Web of Science</v>
      </c>
    </row>
    <row r="455" spans="1:72" x14ac:dyDescent="0.15">
      <c r="A455" t="s">
        <v>72</v>
      </c>
      <c r="B455" t="s">
        <v>4998</v>
      </c>
      <c r="C455" t="s">
        <v>74</v>
      </c>
      <c r="D455" t="s">
        <v>74</v>
      </c>
      <c r="E455" t="s">
        <v>74</v>
      </c>
      <c r="F455" t="s">
        <v>4999</v>
      </c>
      <c r="G455" t="s">
        <v>74</v>
      </c>
      <c r="H455" t="s">
        <v>74</v>
      </c>
      <c r="I455" t="s">
        <v>5000</v>
      </c>
      <c r="J455" t="s">
        <v>5001</v>
      </c>
      <c r="K455" t="s">
        <v>74</v>
      </c>
      <c r="L455" t="s">
        <v>74</v>
      </c>
      <c r="M455" t="s">
        <v>78</v>
      </c>
      <c r="N455" t="s">
        <v>2958</v>
      </c>
      <c r="O455" t="s">
        <v>74</v>
      </c>
      <c r="P455" t="s">
        <v>74</v>
      </c>
      <c r="Q455" t="s">
        <v>74</v>
      </c>
      <c r="R455" t="s">
        <v>74</v>
      </c>
      <c r="S455" t="s">
        <v>74</v>
      </c>
      <c r="T455" t="s">
        <v>74</v>
      </c>
      <c r="U455" t="s">
        <v>5002</v>
      </c>
      <c r="V455" t="s">
        <v>5003</v>
      </c>
      <c r="W455" t="s">
        <v>5004</v>
      </c>
      <c r="X455" t="s">
        <v>74</v>
      </c>
      <c r="Y455" t="s">
        <v>5005</v>
      </c>
      <c r="Z455" t="s">
        <v>5006</v>
      </c>
      <c r="AA455" t="s">
        <v>5007</v>
      </c>
      <c r="AB455" t="s">
        <v>5008</v>
      </c>
      <c r="AC455" t="s">
        <v>74</v>
      </c>
      <c r="AD455" t="s">
        <v>74</v>
      </c>
      <c r="AE455" t="s">
        <v>74</v>
      </c>
      <c r="AF455" t="s">
        <v>74</v>
      </c>
      <c r="AG455">
        <v>176</v>
      </c>
      <c r="AH455">
        <v>58</v>
      </c>
      <c r="AI455">
        <v>63</v>
      </c>
      <c r="AJ455">
        <v>2</v>
      </c>
      <c r="AK455">
        <v>63</v>
      </c>
      <c r="AL455" t="s">
        <v>5009</v>
      </c>
      <c r="AM455" t="s">
        <v>5010</v>
      </c>
      <c r="AN455" t="s">
        <v>5011</v>
      </c>
      <c r="AO455" t="s">
        <v>5012</v>
      </c>
      <c r="AP455" t="s">
        <v>5013</v>
      </c>
      <c r="AQ455" t="s">
        <v>74</v>
      </c>
      <c r="AR455" t="s">
        <v>5014</v>
      </c>
      <c r="AS455" t="s">
        <v>5015</v>
      </c>
      <c r="AT455" t="s">
        <v>4117</v>
      </c>
      <c r="AU455">
        <v>2008</v>
      </c>
      <c r="AV455">
        <v>58</v>
      </c>
      <c r="AW455">
        <v>6</v>
      </c>
      <c r="AX455" t="s">
        <v>74</v>
      </c>
      <c r="AY455" t="s">
        <v>74</v>
      </c>
      <c r="AZ455" t="s">
        <v>74</v>
      </c>
      <c r="BA455" t="s">
        <v>74</v>
      </c>
      <c r="BB455">
        <v>735</v>
      </c>
      <c r="BC455">
        <v>786</v>
      </c>
      <c r="BD455" t="s">
        <v>74</v>
      </c>
      <c r="BE455" t="s">
        <v>5016</v>
      </c>
      <c r="BF455" t="str">
        <f>HYPERLINK("http://dx.doi.org/10.3155/1047-3289.58.6.735","http://dx.doi.org/10.3155/1047-3289.58.6.735")</f>
        <v>http://dx.doi.org/10.3155/1047-3289.58.6.735</v>
      </c>
      <c r="BG455" t="s">
        <v>74</v>
      </c>
      <c r="BH455" t="s">
        <v>74</v>
      </c>
      <c r="BI455">
        <v>52</v>
      </c>
      <c r="BJ455" t="s">
        <v>5017</v>
      </c>
      <c r="BK455" t="s">
        <v>419</v>
      </c>
      <c r="BL455" t="s">
        <v>5018</v>
      </c>
      <c r="BM455" t="s">
        <v>5019</v>
      </c>
      <c r="BN455">
        <v>18581807</v>
      </c>
      <c r="BO455" t="s">
        <v>3290</v>
      </c>
      <c r="BP455" t="s">
        <v>74</v>
      </c>
      <c r="BQ455" t="s">
        <v>74</v>
      </c>
      <c r="BR455" t="s">
        <v>101</v>
      </c>
      <c r="BS455" t="s">
        <v>5020</v>
      </c>
      <c r="BT455" t="str">
        <f>HYPERLINK("https%3A%2F%2Fwww.webofscience.com%2Fwos%2Fwoscc%2Ffull-record%2FWOS:000256554500003","View Full Record in Web of Science")</f>
        <v>View Full Record in Web of Science</v>
      </c>
    </row>
    <row r="456" spans="1:72" x14ac:dyDescent="0.15">
      <c r="A456" t="s">
        <v>72</v>
      </c>
      <c r="B456" t="s">
        <v>5021</v>
      </c>
      <c r="C456" t="s">
        <v>74</v>
      </c>
      <c r="D456" t="s">
        <v>74</v>
      </c>
      <c r="E456" t="s">
        <v>74</v>
      </c>
      <c r="F456" t="s">
        <v>5022</v>
      </c>
      <c r="G456" t="s">
        <v>74</v>
      </c>
      <c r="H456" t="s">
        <v>74</v>
      </c>
      <c r="I456" t="s">
        <v>5023</v>
      </c>
      <c r="J456" t="s">
        <v>5024</v>
      </c>
      <c r="K456" t="s">
        <v>74</v>
      </c>
      <c r="L456" t="s">
        <v>74</v>
      </c>
      <c r="M456" t="s">
        <v>78</v>
      </c>
      <c r="N456" t="s">
        <v>2737</v>
      </c>
      <c r="O456" t="s">
        <v>74</v>
      </c>
      <c r="P456" t="s">
        <v>74</v>
      </c>
      <c r="Q456" t="s">
        <v>74</v>
      </c>
      <c r="R456" t="s">
        <v>74</v>
      </c>
      <c r="S456" t="s">
        <v>74</v>
      </c>
      <c r="T456" t="s">
        <v>74</v>
      </c>
      <c r="U456" t="s">
        <v>5025</v>
      </c>
      <c r="V456" t="s">
        <v>5026</v>
      </c>
      <c r="W456" t="s">
        <v>5027</v>
      </c>
      <c r="X456" t="s">
        <v>5028</v>
      </c>
      <c r="Y456" t="s">
        <v>5029</v>
      </c>
      <c r="Z456" t="s">
        <v>5030</v>
      </c>
      <c r="AA456" t="s">
        <v>74</v>
      </c>
      <c r="AB456" t="s">
        <v>74</v>
      </c>
      <c r="AC456" t="s">
        <v>74</v>
      </c>
      <c r="AD456" t="s">
        <v>74</v>
      </c>
      <c r="AE456" t="s">
        <v>74</v>
      </c>
      <c r="AF456" t="s">
        <v>74</v>
      </c>
      <c r="AG456">
        <v>54</v>
      </c>
      <c r="AH456">
        <v>110</v>
      </c>
      <c r="AI456">
        <v>118</v>
      </c>
      <c r="AJ456">
        <v>0</v>
      </c>
      <c r="AK456">
        <v>45</v>
      </c>
      <c r="AL456" t="s">
        <v>2746</v>
      </c>
      <c r="AM456" t="s">
        <v>2747</v>
      </c>
      <c r="AN456" t="s">
        <v>2748</v>
      </c>
      <c r="AO456" t="s">
        <v>5031</v>
      </c>
      <c r="AP456" t="s">
        <v>74</v>
      </c>
      <c r="AQ456" t="s">
        <v>74</v>
      </c>
      <c r="AR456" t="s">
        <v>5032</v>
      </c>
      <c r="AS456" t="s">
        <v>5033</v>
      </c>
      <c r="AT456" t="s">
        <v>4117</v>
      </c>
      <c r="AU456">
        <v>2008</v>
      </c>
      <c r="AV456">
        <v>154</v>
      </c>
      <c r="AW456">
        <v>5</v>
      </c>
      <c r="AX456" t="s">
        <v>74</v>
      </c>
      <c r="AY456" t="s">
        <v>74</v>
      </c>
      <c r="AZ456" t="s">
        <v>74</v>
      </c>
      <c r="BA456" t="s">
        <v>74</v>
      </c>
      <c r="BB456">
        <v>813</v>
      </c>
      <c r="BC456">
        <v>821</v>
      </c>
      <c r="BD456" t="s">
        <v>74</v>
      </c>
      <c r="BE456" t="s">
        <v>5034</v>
      </c>
      <c r="BF456" t="str">
        <f>HYPERLINK("http://dx.doi.org/10.1007/s00227-008-0974-3","http://dx.doi.org/10.1007/s00227-008-0974-3")</f>
        <v>http://dx.doi.org/10.1007/s00227-008-0974-3</v>
      </c>
      <c r="BG456" t="s">
        <v>74</v>
      </c>
      <c r="BH456" t="s">
        <v>74</v>
      </c>
      <c r="BI456">
        <v>9</v>
      </c>
      <c r="BJ456" t="s">
        <v>5035</v>
      </c>
      <c r="BK456" t="s">
        <v>419</v>
      </c>
      <c r="BL456" t="s">
        <v>5035</v>
      </c>
      <c r="BM456" t="s">
        <v>5036</v>
      </c>
      <c r="BN456" t="s">
        <v>74</v>
      </c>
      <c r="BO456" t="s">
        <v>74</v>
      </c>
      <c r="BP456" t="s">
        <v>74</v>
      </c>
      <c r="BQ456" t="s">
        <v>74</v>
      </c>
      <c r="BR456" t="s">
        <v>101</v>
      </c>
      <c r="BS456" t="s">
        <v>5037</v>
      </c>
      <c r="BT456" t="str">
        <f>HYPERLINK("https%3A%2F%2Fwww.webofscience.com%2Fwos%2Fwoscc%2Ffull-record%2FWOS:000256340200006","View Full Record in Web of Science")</f>
        <v>View Full Record in Web of Science</v>
      </c>
    </row>
    <row r="457" spans="1:72" x14ac:dyDescent="0.15">
      <c r="A457" t="s">
        <v>72</v>
      </c>
      <c r="B457" t="s">
        <v>5038</v>
      </c>
      <c r="C457" t="s">
        <v>74</v>
      </c>
      <c r="D457" t="s">
        <v>74</v>
      </c>
      <c r="E457" t="s">
        <v>74</v>
      </c>
      <c r="F457" t="s">
        <v>5039</v>
      </c>
      <c r="G457" t="s">
        <v>74</v>
      </c>
      <c r="H457" t="s">
        <v>74</v>
      </c>
      <c r="I457" t="s">
        <v>5040</v>
      </c>
      <c r="J457" t="s">
        <v>5024</v>
      </c>
      <c r="K457" t="s">
        <v>74</v>
      </c>
      <c r="L457" t="s">
        <v>74</v>
      </c>
      <c r="M457" t="s">
        <v>78</v>
      </c>
      <c r="N457" t="s">
        <v>2737</v>
      </c>
      <c r="O457" t="s">
        <v>74</v>
      </c>
      <c r="P457" t="s">
        <v>74</v>
      </c>
      <c r="Q457" t="s">
        <v>74</v>
      </c>
      <c r="R457" t="s">
        <v>74</v>
      </c>
      <c r="S457" t="s">
        <v>74</v>
      </c>
      <c r="T457" t="s">
        <v>74</v>
      </c>
      <c r="U457" t="s">
        <v>5041</v>
      </c>
      <c r="V457" t="s">
        <v>5042</v>
      </c>
      <c r="W457" t="s">
        <v>5043</v>
      </c>
      <c r="X457" t="s">
        <v>5044</v>
      </c>
      <c r="Y457" t="s">
        <v>5045</v>
      </c>
      <c r="Z457" t="s">
        <v>5046</v>
      </c>
      <c r="AA457" t="s">
        <v>74</v>
      </c>
      <c r="AB457" t="s">
        <v>5047</v>
      </c>
      <c r="AC457" t="s">
        <v>74</v>
      </c>
      <c r="AD457" t="s">
        <v>74</v>
      </c>
      <c r="AE457" t="s">
        <v>74</v>
      </c>
      <c r="AF457" t="s">
        <v>74</v>
      </c>
      <c r="AG457">
        <v>53</v>
      </c>
      <c r="AH457">
        <v>41</v>
      </c>
      <c r="AI457">
        <v>44</v>
      </c>
      <c r="AJ457">
        <v>0</v>
      </c>
      <c r="AK457">
        <v>2</v>
      </c>
      <c r="AL457" t="s">
        <v>4746</v>
      </c>
      <c r="AM457" t="s">
        <v>4747</v>
      </c>
      <c r="AN457" t="s">
        <v>4748</v>
      </c>
      <c r="AO457" t="s">
        <v>5031</v>
      </c>
      <c r="AP457" t="s">
        <v>5048</v>
      </c>
      <c r="AQ457" t="s">
        <v>74</v>
      </c>
      <c r="AR457" t="s">
        <v>5032</v>
      </c>
      <c r="AS457" t="s">
        <v>5033</v>
      </c>
      <c r="AT457" t="s">
        <v>4117</v>
      </c>
      <c r="AU457">
        <v>2008</v>
      </c>
      <c r="AV457">
        <v>154</v>
      </c>
      <c r="AW457">
        <v>5</v>
      </c>
      <c r="AX457" t="s">
        <v>74</v>
      </c>
      <c r="AY457" t="s">
        <v>74</v>
      </c>
      <c r="AZ457" t="s">
        <v>74</v>
      </c>
      <c r="BA457" t="s">
        <v>74</v>
      </c>
      <c r="BB457">
        <v>875</v>
      </c>
      <c r="BC457">
        <v>885</v>
      </c>
      <c r="BD457" t="s">
        <v>74</v>
      </c>
      <c r="BE457" t="s">
        <v>5049</v>
      </c>
      <c r="BF457" t="str">
        <f>HYPERLINK("http://dx.doi.org/10.1007/s00227-008-0980-5","http://dx.doi.org/10.1007/s00227-008-0980-5")</f>
        <v>http://dx.doi.org/10.1007/s00227-008-0980-5</v>
      </c>
      <c r="BG457" t="s">
        <v>74</v>
      </c>
      <c r="BH457" t="s">
        <v>74</v>
      </c>
      <c r="BI457">
        <v>11</v>
      </c>
      <c r="BJ457" t="s">
        <v>5035</v>
      </c>
      <c r="BK457" t="s">
        <v>419</v>
      </c>
      <c r="BL457" t="s">
        <v>5035</v>
      </c>
      <c r="BM457" t="s">
        <v>5036</v>
      </c>
      <c r="BN457" t="s">
        <v>74</v>
      </c>
      <c r="BO457" t="s">
        <v>74</v>
      </c>
      <c r="BP457" t="s">
        <v>74</v>
      </c>
      <c r="BQ457" t="s">
        <v>74</v>
      </c>
      <c r="BR457" t="s">
        <v>101</v>
      </c>
      <c r="BS457" t="s">
        <v>5050</v>
      </c>
      <c r="BT457" t="str">
        <f>HYPERLINK("https%3A%2F%2Fwww.webofscience.com%2Fwos%2Fwoscc%2Ffull-record%2FWOS:000256340200012","View Full Record in Web of Science")</f>
        <v>View Full Record in Web of Science</v>
      </c>
    </row>
    <row r="458" spans="1:72" x14ac:dyDescent="0.15">
      <c r="A458" t="s">
        <v>72</v>
      </c>
      <c r="B458" t="s">
        <v>5051</v>
      </c>
      <c r="C458" t="s">
        <v>74</v>
      </c>
      <c r="D458" t="s">
        <v>74</v>
      </c>
      <c r="E458" t="s">
        <v>74</v>
      </c>
      <c r="F458" t="s">
        <v>5052</v>
      </c>
      <c r="G458" t="s">
        <v>74</v>
      </c>
      <c r="H458" t="s">
        <v>74</v>
      </c>
      <c r="I458" t="s">
        <v>5053</v>
      </c>
      <c r="J458" t="s">
        <v>5054</v>
      </c>
      <c r="K458" t="s">
        <v>74</v>
      </c>
      <c r="L458" t="s">
        <v>74</v>
      </c>
      <c r="M458" t="s">
        <v>78</v>
      </c>
      <c r="N458" t="s">
        <v>2737</v>
      </c>
      <c r="O458" t="s">
        <v>74</v>
      </c>
      <c r="P458" t="s">
        <v>74</v>
      </c>
      <c r="Q458" t="s">
        <v>74</v>
      </c>
      <c r="R458" t="s">
        <v>74</v>
      </c>
      <c r="S458" t="s">
        <v>74</v>
      </c>
      <c r="T458" t="s">
        <v>74</v>
      </c>
      <c r="U458" t="s">
        <v>5055</v>
      </c>
      <c r="V458" t="s">
        <v>5056</v>
      </c>
      <c r="W458" t="s">
        <v>5057</v>
      </c>
      <c r="X458" t="s">
        <v>5058</v>
      </c>
      <c r="Y458" t="s">
        <v>5059</v>
      </c>
      <c r="Z458" t="s">
        <v>74</v>
      </c>
      <c r="AA458" t="s">
        <v>5060</v>
      </c>
      <c r="AB458" t="s">
        <v>5061</v>
      </c>
      <c r="AC458" t="s">
        <v>74</v>
      </c>
      <c r="AD458" t="s">
        <v>74</v>
      </c>
      <c r="AE458" t="s">
        <v>74</v>
      </c>
      <c r="AF458" t="s">
        <v>74</v>
      </c>
      <c r="AG458">
        <v>20</v>
      </c>
      <c r="AH458">
        <v>11</v>
      </c>
      <c r="AI458">
        <v>11</v>
      </c>
      <c r="AJ458">
        <v>0</v>
      </c>
      <c r="AK458">
        <v>14</v>
      </c>
      <c r="AL458" t="s">
        <v>5062</v>
      </c>
      <c r="AM458" t="s">
        <v>5063</v>
      </c>
      <c r="AN458" t="s">
        <v>5064</v>
      </c>
      <c r="AO458" t="s">
        <v>5065</v>
      </c>
      <c r="AP458" t="s">
        <v>5066</v>
      </c>
      <c r="AQ458" t="s">
        <v>74</v>
      </c>
      <c r="AR458" t="s">
        <v>5067</v>
      </c>
      <c r="AS458" t="s">
        <v>5068</v>
      </c>
      <c r="AT458" t="s">
        <v>5069</v>
      </c>
      <c r="AU458">
        <v>2008</v>
      </c>
      <c r="AV458">
        <v>42</v>
      </c>
      <c r="AW458">
        <v>2</v>
      </c>
      <c r="AX458" t="s">
        <v>74</v>
      </c>
      <c r="AY458" t="s">
        <v>74</v>
      </c>
      <c r="AZ458" t="s">
        <v>74</v>
      </c>
      <c r="BA458" t="s">
        <v>74</v>
      </c>
      <c r="BB458">
        <v>65</v>
      </c>
      <c r="BC458">
        <v>75</v>
      </c>
      <c r="BD458" t="s">
        <v>74</v>
      </c>
      <c r="BE458" t="s">
        <v>5070</v>
      </c>
      <c r="BF458" t="str">
        <f>HYPERLINK("http://dx.doi.org/10.4031/002533208786829179","http://dx.doi.org/10.4031/002533208786829179")</f>
        <v>http://dx.doi.org/10.4031/002533208786829179</v>
      </c>
      <c r="BG458" t="s">
        <v>74</v>
      </c>
      <c r="BH458" t="s">
        <v>74</v>
      </c>
      <c r="BI458">
        <v>11</v>
      </c>
      <c r="BJ458" t="s">
        <v>5071</v>
      </c>
      <c r="BK458" t="s">
        <v>419</v>
      </c>
      <c r="BL458" t="s">
        <v>5072</v>
      </c>
      <c r="BM458" t="s">
        <v>5073</v>
      </c>
      <c r="BN458" t="s">
        <v>74</v>
      </c>
      <c r="BO458" t="s">
        <v>4667</v>
      </c>
      <c r="BP458" t="s">
        <v>74</v>
      </c>
      <c r="BQ458" t="s">
        <v>74</v>
      </c>
      <c r="BR458" t="s">
        <v>101</v>
      </c>
      <c r="BS458" t="s">
        <v>5074</v>
      </c>
      <c r="BT458" t="str">
        <f>HYPERLINK("https%3A%2F%2Fwww.webofscience.com%2Fwos%2Fwoscc%2Ffull-record%2FWOS:000258802700011","View Full Record in Web of Science")</f>
        <v>View Full Record in Web of Science</v>
      </c>
    </row>
    <row r="459" spans="1:72" x14ac:dyDescent="0.15">
      <c r="A459" t="s">
        <v>72</v>
      </c>
      <c r="B459" t="s">
        <v>5075</v>
      </c>
      <c r="C459" t="s">
        <v>74</v>
      </c>
      <c r="D459" t="s">
        <v>74</v>
      </c>
      <c r="E459" t="s">
        <v>74</v>
      </c>
      <c r="F459" t="s">
        <v>5076</v>
      </c>
      <c r="G459" t="s">
        <v>74</v>
      </c>
      <c r="H459" t="s">
        <v>74</v>
      </c>
      <c r="I459" t="s">
        <v>5077</v>
      </c>
      <c r="J459" t="s">
        <v>5078</v>
      </c>
      <c r="K459" t="s">
        <v>74</v>
      </c>
      <c r="L459" t="s">
        <v>74</v>
      </c>
      <c r="M459" t="s">
        <v>78</v>
      </c>
      <c r="N459" t="s">
        <v>2737</v>
      </c>
      <c r="O459" t="s">
        <v>74</v>
      </c>
      <c r="P459" t="s">
        <v>74</v>
      </c>
      <c r="Q459" t="s">
        <v>74</v>
      </c>
      <c r="R459" t="s">
        <v>74</v>
      </c>
      <c r="S459" t="s">
        <v>74</v>
      </c>
      <c r="T459" t="s">
        <v>5079</v>
      </c>
      <c r="U459" t="s">
        <v>5080</v>
      </c>
      <c r="V459" t="s">
        <v>5081</v>
      </c>
      <c r="W459" t="s">
        <v>5082</v>
      </c>
      <c r="X459" t="s">
        <v>5083</v>
      </c>
      <c r="Y459" t="s">
        <v>5084</v>
      </c>
      <c r="Z459" t="s">
        <v>5085</v>
      </c>
      <c r="AA459" t="s">
        <v>74</v>
      </c>
      <c r="AB459" t="s">
        <v>5086</v>
      </c>
      <c r="AC459" t="s">
        <v>74</v>
      </c>
      <c r="AD459" t="s">
        <v>74</v>
      </c>
      <c r="AE459" t="s">
        <v>74</v>
      </c>
      <c r="AF459" t="s">
        <v>74</v>
      </c>
      <c r="AG459">
        <v>66</v>
      </c>
      <c r="AH459">
        <v>58</v>
      </c>
      <c r="AI459">
        <v>68</v>
      </c>
      <c r="AJ459">
        <v>3</v>
      </c>
      <c r="AK459">
        <v>39</v>
      </c>
      <c r="AL459" t="s">
        <v>4682</v>
      </c>
      <c r="AM459" t="s">
        <v>3008</v>
      </c>
      <c r="AN459" t="s">
        <v>4683</v>
      </c>
      <c r="AO459" t="s">
        <v>5087</v>
      </c>
      <c r="AP459" t="s">
        <v>5088</v>
      </c>
      <c r="AQ459" t="s">
        <v>74</v>
      </c>
      <c r="AR459" t="s">
        <v>5089</v>
      </c>
      <c r="AS459" t="s">
        <v>5090</v>
      </c>
      <c r="AT459" t="s">
        <v>4117</v>
      </c>
      <c r="AU459">
        <v>2008</v>
      </c>
      <c r="AV459">
        <v>25</v>
      </c>
      <c r="AW459">
        <v>6</v>
      </c>
      <c r="AX459" t="s">
        <v>74</v>
      </c>
      <c r="AY459" t="s">
        <v>74</v>
      </c>
      <c r="AZ459" t="s">
        <v>74</v>
      </c>
      <c r="BA459" t="s">
        <v>74</v>
      </c>
      <c r="BB459">
        <v>1099</v>
      </c>
      <c r="BC459">
        <v>1112</v>
      </c>
      <c r="BD459" t="s">
        <v>74</v>
      </c>
      <c r="BE459" t="s">
        <v>5091</v>
      </c>
      <c r="BF459" t="str">
        <f>HYPERLINK("http://dx.doi.org/10.1093/molbev/msn056","http://dx.doi.org/10.1093/molbev/msn056")</f>
        <v>http://dx.doi.org/10.1093/molbev/msn056</v>
      </c>
      <c r="BG459" t="s">
        <v>74</v>
      </c>
      <c r="BH459" t="s">
        <v>74</v>
      </c>
      <c r="BI459">
        <v>14</v>
      </c>
      <c r="BJ459" t="s">
        <v>5092</v>
      </c>
      <c r="BK459" t="s">
        <v>419</v>
      </c>
      <c r="BL459" t="s">
        <v>5092</v>
      </c>
      <c r="BM459" t="s">
        <v>5093</v>
      </c>
      <c r="BN459">
        <v>18310660</v>
      </c>
      <c r="BO459" t="s">
        <v>3290</v>
      </c>
      <c r="BP459" t="s">
        <v>74</v>
      </c>
      <c r="BQ459" t="s">
        <v>74</v>
      </c>
      <c r="BR459" t="s">
        <v>101</v>
      </c>
      <c r="BS459" t="s">
        <v>5094</v>
      </c>
      <c r="BT459" t="str">
        <f>HYPERLINK("https%3A%2F%2Fwww.webofscience.com%2Fwos%2Fwoscc%2Ffull-record%2FWOS:000255758200010","View Full Record in Web of Science")</f>
        <v>View Full Record in Web of Science</v>
      </c>
    </row>
    <row r="460" spans="1:72" x14ac:dyDescent="0.15">
      <c r="A460" t="s">
        <v>72</v>
      </c>
      <c r="B460" t="s">
        <v>5095</v>
      </c>
      <c r="C460" t="s">
        <v>74</v>
      </c>
      <c r="D460" t="s">
        <v>74</v>
      </c>
      <c r="E460" t="s">
        <v>74</v>
      </c>
      <c r="F460" t="s">
        <v>5096</v>
      </c>
      <c r="G460" t="s">
        <v>74</v>
      </c>
      <c r="H460" t="s">
        <v>74</v>
      </c>
      <c r="I460" t="s">
        <v>5097</v>
      </c>
      <c r="J460" t="s">
        <v>5098</v>
      </c>
      <c r="K460" t="s">
        <v>74</v>
      </c>
      <c r="L460" t="s">
        <v>74</v>
      </c>
      <c r="M460" t="s">
        <v>78</v>
      </c>
      <c r="N460" t="s">
        <v>2737</v>
      </c>
      <c r="O460" t="s">
        <v>74</v>
      </c>
      <c r="P460" t="s">
        <v>74</v>
      </c>
      <c r="Q460" t="s">
        <v>74</v>
      </c>
      <c r="R460" t="s">
        <v>74</v>
      </c>
      <c r="S460" t="s">
        <v>74</v>
      </c>
      <c r="T460" t="s">
        <v>5099</v>
      </c>
      <c r="U460" t="s">
        <v>5100</v>
      </c>
      <c r="V460" t="s">
        <v>5101</v>
      </c>
      <c r="W460" t="s">
        <v>5102</v>
      </c>
      <c r="X460" t="s">
        <v>5103</v>
      </c>
      <c r="Y460" t="s">
        <v>5104</v>
      </c>
      <c r="Z460" t="s">
        <v>5105</v>
      </c>
      <c r="AA460" t="s">
        <v>5106</v>
      </c>
      <c r="AB460" t="s">
        <v>74</v>
      </c>
      <c r="AC460" t="s">
        <v>74</v>
      </c>
      <c r="AD460" t="s">
        <v>74</v>
      </c>
      <c r="AE460" t="s">
        <v>74</v>
      </c>
      <c r="AF460" t="s">
        <v>74</v>
      </c>
      <c r="AG460">
        <v>49</v>
      </c>
      <c r="AH460">
        <v>16</v>
      </c>
      <c r="AI460">
        <v>23</v>
      </c>
      <c r="AJ460">
        <v>0</v>
      </c>
      <c r="AK460">
        <v>2</v>
      </c>
      <c r="AL460" t="s">
        <v>3007</v>
      </c>
      <c r="AM460" t="s">
        <v>3008</v>
      </c>
      <c r="AN460" t="s">
        <v>3009</v>
      </c>
      <c r="AO460" t="s">
        <v>5107</v>
      </c>
      <c r="AP460" t="s">
        <v>74</v>
      </c>
      <c r="AQ460" t="s">
        <v>74</v>
      </c>
      <c r="AR460" t="s">
        <v>5108</v>
      </c>
      <c r="AS460" t="s">
        <v>5109</v>
      </c>
      <c r="AT460" t="s">
        <v>4117</v>
      </c>
      <c r="AU460">
        <v>2008</v>
      </c>
      <c r="AV460">
        <v>45</v>
      </c>
      <c r="AW460">
        <v>11</v>
      </c>
      <c r="AX460" t="s">
        <v>74</v>
      </c>
      <c r="AY460" t="s">
        <v>74</v>
      </c>
      <c r="AZ460" t="s">
        <v>74</v>
      </c>
      <c r="BA460" t="s">
        <v>74</v>
      </c>
      <c r="BB460">
        <v>3096</v>
      </c>
      <c r="BC460">
        <v>3106</v>
      </c>
      <c r="BD460" t="s">
        <v>74</v>
      </c>
      <c r="BE460" t="s">
        <v>5110</v>
      </c>
      <c r="BF460" t="str">
        <f>HYPERLINK("http://dx.doi.org/10.1016/j.molimm.2008.03.006","http://dx.doi.org/10.1016/j.molimm.2008.03.006")</f>
        <v>http://dx.doi.org/10.1016/j.molimm.2008.03.006</v>
      </c>
      <c r="BG460" t="s">
        <v>74</v>
      </c>
      <c r="BH460" t="s">
        <v>74</v>
      </c>
      <c r="BI460">
        <v>11</v>
      </c>
      <c r="BJ460" t="s">
        <v>5111</v>
      </c>
      <c r="BK460" t="s">
        <v>419</v>
      </c>
      <c r="BL460" t="s">
        <v>5111</v>
      </c>
      <c r="BM460" t="s">
        <v>5112</v>
      </c>
      <c r="BN460">
        <v>18455799</v>
      </c>
      <c r="BO460" t="s">
        <v>74</v>
      </c>
      <c r="BP460" t="s">
        <v>74</v>
      </c>
      <c r="BQ460" t="s">
        <v>74</v>
      </c>
      <c r="BR460" t="s">
        <v>101</v>
      </c>
      <c r="BS460" t="s">
        <v>5113</v>
      </c>
      <c r="BT460" t="str">
        <f>HYPERLINK("https%3A%2F%2Fwww.webofscience.com%2Fwos%2Fwoscc%2Ffull-record%2FWOS:000257024800010","View Full Record in Web of Science")</f>
        <v>View Full Record in Web of Science</v>
      </c>
    </row>
    <row r="461" spans="1:72" x14ac:dyDescent="0.15">
      <c r="A461" t="s">
        <v>72</v>
      </c>
      <c r="B461" t="s">
        <v>5114</v>
      </c>
      <c r="C461" t="s">
        <v>74</v>
      </c>
      <c r="D461" t="s">
        <v>74</v>
      </c>
      <c r="E461" t="s">
        <v>74</v>
      </c>
      <c r="F461" t="s">
        <v>5115</v>
      </c>
      <c r="G461" t="s">
        <v>74</v>
      </c>
      <c r="H461" t="s">
        <v>74</v>
      </c>
      <c r="I461" t="s">
        <v>5116</v>
      </c>
      <c r="J461" t="s">
        <v>5117</v>
      </c>
      <c r="K461" t="s">
        <v>74</v>
      </c>
      <c r="L461" t="s">
        <v>74</v>
      </c>
      <c r="M461" t="s">
        <v>78</v>
      </c>
      <c r="N461" t="s">
        <v>2737</v>
      </c>
      <c r="O461" t="s">
        <v>74</v>
      </c>
      <c r="P461" t="s">
        <v>74</v>
      </c>
      <c r="Q461" t="s">
        <v>74</v>
      </c>
      <c r="R461" t="s">
        <v>74</v>
      </c>
      <c r="S461" t="s">
        <v>74</v>
      </c>
      <c r="T461" t="s">
        <v>74</v>
      </c>
      <c r="U461" t="s">
        <v>74</v>
      </c>
      <c r="V461" t="s">
        <v>5118</v>
      </c>
      <c r="W461" t="s">
        <v>5119</v>
      </c>
      <c r="X461" t="s">
        <v>5120</v>
      </c>
      <c r="Y461" t="s">
        <v>5121</v>
      </c>
      <c r="Z461" t="s">
        <v>5122</v>
      </c>
      <c r="AA461" t="s">
        <v>5123</v>
      </c>
      <c r="AB461" t="s">
        <v>5124</v>
      </c>
      <c r="AC461" t="s">
        <v>74</v>
      </c>
      <c r="AD461" t="s">
        <v>74</v>
      </c>
      <c r="AE461" t="s">
        <v>74</v>
      </c>
      <c r="AF461" t="s">
        <v>74</v>
      </c>
      <c r="AG461">
        <v>19</v>
      </c>
      <c r="AH461">
        <v>2</v>
      </c>
      <c r="AI461">
        <v>2</v>
      </c>
      <c r="AJ461">
        <v>0</v>
      </c>
      <c r="AK461">
        <v>0</v>
      </c>
      <c r="AL461" t="s">
        <v>4724</v>
      </c>
      <c r="AM461" t="s">
        <v>2747</v>
      </c>
      <c r="AN461" t="s">
        <v>4725</v>
      </c>
      <c r="AO461" t="s">
        <v>5125</v>
      </c>
      <c r="AP461" t="s">
        <v>5126</v>
      </c>
      <c r="AQ461" t="s">
        <v>74</v>
      </c>
      <c r="AR461" t="s">
        <v>5127</v>
      </c>
      <c r="AS461" t="s">
        <v>5128</v>
      </c>
      <c r="AT461" t="s">
        <v>4117</v>
      </c>
      <c r="AU461">
        <v>2008</v>
      </c>
      <c r="AV461">
        <v>48</v>
      </c>
      <c r="AW461">
        <v>3</v>
      </c>
      <c r="AX461" t="s">
        <v>74</v>
      </c>
      <c r="AY461" t="s">
        <v>74</v>
      </c>
      <c r="AZ461" t="s">
        <v>74</v>
      </c>
      <c r="BA461" t="s">
        <v>74</v>
      </c>
      <c r="BB461">
        <v>349</v>
      </c>
      <c r="BC461">
        <v>356</v>
      </c>
      <c r="BD461" t="s">
        <v>74</v>
      </c>
      <c r="BE461" t="s">
        <v>5129</v>
      </c>
      <c r="BF461" t="str">
        <f>HYPERLINK("http://dx.doi.org/10.1134/S0001437008030065","http://dx.doi.org/10.1134/S0001437008030065")</f>
        <v>http://dx.doi.org/10.1134/S0001437008030065</v>
      </c>
      <c r="BG461" t="s">
        <v>74</v>
      </c>
      <c r="BH461" t="s">
        <v>74</v>
      </c>
      <c r="BI461">
        <v>8</v>
      </c>
      <c r="BJ461" t="s">
        <v>3447</v>
      </c>
      <c r="BK461" t="s">
        <v>419</v>
      </c>
      <c r="BL461" t="s">
        <v>3447</v>
      </c>
      <c r="BM461" t="s">
        <v>5130</v>
      </c>
      <c r="BN461" t="s">
        <v>74</v>
      </c>
      <c r="BO461" t="s">
        <v>74</v>
      </c>
      <c r="BP461" t="s">
        <v>74</v>
      </c>
      <c r="BQ461" t="s">
        <v>74</v>
      </c>
      <c r="BR461" t="s">
        <v>101</v>
      </c>
      <c r="BS461" t="s">
        <v>5131</v>
      </c>
      <c r="BT461" t="str">
        <f>HYPERLINK("https%3A%2F%2Fwww.webofscience.com%2Fwos%2Fwoscc%2Ffull-record%2FWOS:000257382100006","View Full Record in Web of Science")</f>
        <v>View Full Record in Web of Science</v>
      </c>
    </row>
    <row r="462" spans="1:72" x14ac:dyDescent="0.15">
      <c r="A462" t="s">
        <v>72</v>
      </c>
      <c r="B462" t="s">
        <v>5132</v>
      </c>
      <c r="C462" t="s">
        <v>74</v>
      </c>
      <c r="D462" t="s">
        <v>74</v>
      </c>
      <c r="E462" t="s">
        <v>74</v>
      </c>
      <c r="F462" t="s">
        <v>5133</v>
      </c>
      <c r="G462" t="s">
        <v>74</v>
      </c>
      <c r="H462" t="s">
        <v>74</v>
      </c>
      <c r="I462" t="s">
        <v>5134</v>
      </c>
      <c r="J462" t="s">
        <v>5117</v>
      </c>
      <c r="K462" t="s">
        <v>74</v>
      </c>
      <c r="L462" t="s">
        <v>74</v>
      </c>
      <c r="M462" t="s">
        <v>78</v>
      </c>
      <c r="N462" t="s">
        <v>2737</v>
      </c>
      <c r="O462" t="s">
        <v>74</v>
      </c>
      <c r="P462" t="s">
        <v>74</v>
      </c>
      <c r="Q462" t="s">
        <v>74</v>
      </c>
      <c r="R462" t="s">
        <v>74</v>
      </c>
      <c r="S462" t="s">
        <v>74</v>
      </c>
      <c r="T462" t="s">
        <v>74</v>
      </c>
      <c r="U462" t="s">
        <v>5135</v>
      </c>
      <c r="V462" t="s">
        <v>5136</v>
      </c>
      <c r="W462" t="s">
        <v>5137</v>
      </c>
      <c r="X462" t="s">
        <v>5138</v>
      </c>
      <c r="Y462" t="s">
        <v>5139</v>
      </c>
      <c r="Z462" t="s">
        <v>5140</v>
      </c>
      <c r="AA462" t="s">
        <v>5141</v>
      </c>
      <c r="AB462" t="s">
        <v>5142</v>
      </c>
      <c r="AC462" t="s">
        <v>74</v>
      </c>
      <c r="AD462" t="s">
        <v>74</v>
      </c>
      <c r="AE462" t="s">
        <v>74</v>
      </c>
      <c r="AF462" t="s">
        <v>74</v>
      </c>
      <c r="AG462">
        <v>58</v>
      </c>
      <c r="AH462">
        <v>3</v>
      </c>
      <c r="AI462">
        <v>3</v>
      </c>
      <c r="AJ462">
        <v>0</v>
      </c>
      <c r="AK462">
        <v>2</v>
      </c>
      <c r="AL462" t="s">
        <v>4724</v>
      </c>
      <c r="AM462" t="s">
        <v>2747</v>
      </c>
      <c r="AN462" t="s">
        <v>4725</v>
      </c>
      <c r="AO462" t="s">
        <v>5125</v>
      </c>
      <c r="AP462" t="s">
        <v>5126</v>
      </c>
      <c r="AQ462" t="s">
        <v>74</v>
      </c>
      <c r="AR462" t="s">
        <v>5127</v>
      </c>
      <c r="AS462" t="s">
        <v>5128</v>
      </c>
      <c r="AT462" t="s">
        <v>4117</v>
      </c>
      <c r="AU462">
        <v>2008</v>
      </c>
      <c r="AV462">
        <v>48</v>
      </c>
      <c r="AW462">
        <v>3</v>
      </c>
      <c r="AX462" t="s">
        <v>74</v>
      </c>
      <c r="AY462" t="s">
        <v>74</v>
      </c>
      <c r="AZ462" t="s">
        <v>74</v>
      </c>
      <c r="BA462" t="s">
        <v>74</v>
      </c>
      <c r="BB462">
        <v>364</v>
      </c>
      <c r="BC462">
        <v>377</v>
      </c>
      <c r="BD462" t="s">
        <v>74</v>
      </c>
      <c r="BE462" t="s">
        <v>5143</v>
      </c>
      <c r="BF462" t="str">
        <f>HYPERLINK("http://dx.doi.org/10.1134/S0001437008030089","http://dx.doi.org/10.1134/S0001437008030089")</f>
        <v>http://dx.doi.org/10.1134/S0001437008030089</v>
      </c>
      <c r="BG462" t="s">
        <v>74</v>
      </c>
      <c r="BH462" t="s">
        <v>74</v>
      </c>
      <c r="BI462">
        <v>14</v>
      </c>
      <c r="BJ462" t="s">
        <v>3447</v>
      </c>
      <c r="BK462" t="s">
        <v>419</v>
      </c>
      <c r="BL462" t="s">
        <v>3447</v>
      </c>
      <c r="BM462" t="s">
        <v>5130</v>
      </c>
      <c r="BN462" t="s">
        <v>74</v>
      </c>
      <c r="BO462" t="s">
        <v>74</v>
      </c>
      <c r="BP462" t="s">
        <v>74</v>
      </c>
      <c r="BQ462" t="s">
        <v>74</v>
      </c>
      <c r="BR462" t="s">
        <v>101</v>
      </c>
      <c r="BS462" t="s">
        <v>5144</v>
      </c>
      <c r="BT462" t="str">
        <f>HYPERLINK("https%3A%2F%2Fwww.webofscience.com%2Fwos%2Fwoscc%2Ffull-record%2FWOS:000257382100008","View Full Record in Web of Science")</f>
        <v>View Full Record in Web of Science</v>
      </c>
    </row>
    <row r="463" spans="1:72" x14ac:dyDescent="0.15">
      <c r="A463" t="s">
        <v>72</v>
      </c>
      <c r="B463" t="s">
        <v>5145</v>
      </c>
      <c r="C463" t="s">
        <v>74</v>
      </c>
      <c r="D463" t="s">
        <v>74</v>
      </c>
      <c r="E463" t="s">
        <v>74</v>
      </c>
      <c r="F463" t="s">
        <v>5146</v>
      </c>
      <c r="G463" t="s">
        <v>74</v>
      </c>
      <c r="H463" t="s">
        <v>74</v>
      </c>
      <c r="I463" t="s">
        <v>5147</v>
      </c>
      <c r="J463" t="s">
        <v>5148</v>
      </c>
      <c r="K463" t="s">
        <v>74</v>
      </c>
      <c r="L463" t="s">
        <v>74</v>
      </c>
      <c r="M463" t="s">
        <v>78</v>
      </c>
      <c r="N463" t="s">
        <v>2737</v>
      </c>
      <c r="O463" t="s">
        <v>74</v>
      </c>
      <c r="P463" t="s">
        <v>74</v>
      </c>
      <c r="Q463" t="s">
        <v>74</v>
      </c>
      <c r="R463" t="s">
        <v>74</v>
      </c>
      <c r="S463" t="s">
        <v>74</v>
      </c>
      <c r="T463" t="s">
        <v>5149</v>
      </c>
      <c r="U463" t="s">
        <v>5150</v>
      </c>
      <c r="V463" t="s">
        <v>5151</v>
      </c>
      <c r="W463" t="s">
        <v>5152</v>
      </c>
      <c r="X463" t="s">
        <v>5153</v>
      </c>
      <c r="Y463" t="s">
        <v>5154</v>
      </c>
      <c r="Z463" t="s">
        <v>5155</v>
      </c>
      <c r="AA463" t="s">
        <v>74</v>
      </c>
      <c r="AB463" t="s">
        <v>74</v>
      </c>
      <c r="AC463" t="s">
        <v>74</v>
      </c>
      <c r="AD463" t="s">
        <v>74</v>
      </c>
      <c r="AE463" t="s">
        <v>74</v>
      </c>
      <c r="AF463" t="s">
        <v>74</v>
      </c>
      <c r="AG463">
        <v>32</v>
      </c>
      <c r="AH463">
        <v>20</v>
      </c>
      <c r="AI463">
        <v>23</v>
      </c>
      <c r="AJ463">
        <v>1</v>
      </c>
      <c r="AK463">
        <v>28</v>
      </c>
      <c r="AL463" t="s">
        <v>2746</v>
      </c>
      <c r="AM463" t="s">
        <v>2793</v>
      </c>
      <c r="AN463" t="s">
        <v>2794</v>
      </c>
      <c r="AO463" t="s">
        <v>5156</v>
      </c>
      <c r="AP463" t="s">
        <v>74</v>
      </c>
      <c r="AQ463" t="s">
        <v>74</v>
      </c>
      <c r="AR463" t="s">
        <v>5148</v>
      </c>
      <c r="AS463" t="s">
        <v>5157</v>
      </c>
      <c r="AT463" t="s">
        <v>4117</v>
      </c>
      <c r="AU463">
        <v>2008</v>
      </c>
      <c r="AV463">
        <v>46</v>
      </c>
      <c r="AW463">
        <v>2</v>
      </c>
      <c r="AX463" t="s">
        <v>74</v>
      </c>
      <c r="AY463" t="s">
        <v>74</v>
      </c>
      <c r="AZ463" t="s">
        <v>74</v>
      </c>
      <c r="BA463" t="s">
        <v>74</v>
      </c>
      <c r="BB463">
        <v>307</v>
      </c>
      <c r="BC463">
        <v>311</v>
      </c>
      <c r="BD463" t="s">
        <v>74</v>
      </c>
      <c r="BE463" t="s">
        <v>5158</v>
      </c>
      <c r="BF463" t="str">
        <f>HYPERLINK("http://dx.doi.org/10.1007/s11099-008-0056-2","http://dx.doi.org/10.1007/s11099-008-0056-2")</f>
        <v>http://dx.doi.org/10.1007/s11099-008-0056-2</v>
      </c>
      <c r="BG463" t="s">
        <v>74</v>
      </c>
      <c r="BH463" t="s">
        <v>74</v>
      </c>
      <c r="BI463">
        <v>5</v>
      </c>
      <c r="BJ463" t="s">
        <v>2857</v>
      </c>
      <c r="BK463" t="s">
        <v>419</v>
      </c>
      <c r="BL463" t="s">
        <v>2857</v>
      </c>
      <c r="BM463" t="s">
        <v>5159</v>
      </c>
      <c r="BN463" t="s">
        <v>74</v>
      </c>
      <c r="BO463" t="s">
        <v>3290</v>
      </c>
      <c r="BP463" t="s">
        <v>74</v>
      </c>
      <c r="BQ463" t="s">
        <v>74</v>
      </c>
      <c r="BR463" t="s">
        <v>101</v>
      </c>
      <c r="BS463" t="s">
        <v>5160</v>
      </c>
      <c r="BT463" t="str">
        <f>HYPERLINK("https%3A%2F%2Fwww.webofscience.com%2Fwos%2Fwoscc%2Ffull-record%2FWOS:000256340500026","View Full Record in Web of Science")</f>
        <v>View Full Record in Web of Science</v>
      </c>
    </row>
    <row r="464" spans="1:72" x14ac:dyDescent="0.15">
      <c r="A464" t="s">
        <v>72</v>
      </c>
      <c r="B464" t="s">
        <v>5161</v>
      </c>
      <c r="C464" t="s">
        <v>74</v>
      </c>
      <c r="D464" t="s">
        <v>74</v>
      </c>
      <c r="E464" t="s">
        <v>74</v>
      </c>
      <c r="F464" t="s">
        <v>5162</v>
      </c>
      <c r="G464" t="s">
        <v>74</v>
      </c>
      <c r="H464" t="s">
        <v>74</v>
      </c>
      <c r="I464" t="s">
        <v>5163</v>
      </c>
      <c r="J464" t="s">
        <v>2883</v>
      </c>
      <c r="K464" t="s">
        <v>74</v>
      </c>
      <c r="L464" t="s">
        <v>74</v>
      </c>
      <c r="M464" t="s">
        <v>78</v>
      </c>
      <c r="N464" t="s">
        <v>2737</v>
      </c>
      <c r="O464" t="s">
        <v>74</v>
      </c>
      <c r="P464" t="s">
        <v>74</v>
      </c>
      <c r="Q464" t="s">
        <v>74</v>
      </c>
      <c r="R464" t="s">
        <v>74</v>
      </c>
      <c r="S464" t="s">
        <v>74</v>
      </c>
      <c r="T464" t="s">
        <v>5164</v>
      </c>
      <c r="U464" t="s">
        <v>5165</v>
      </c>
      <c r="V464" t="s">
        <v>5166</v>
      </c>
      <c r="W464" t="s">
        <v>5167</v>
      </c>
      <c r="X464" t="s">
        <v>5168</v>
      </c>
      <c r="Y464" t="s">
        <v>5169</v>
      </c>
      <c r="Z464" t="s">
        <v>5170</v>
      </c>
      <c r="AA464" t="s">
        <v>5171</v>
      </c>
      <c r="AB464" t="s">
        <v>5172</v>
      </c>
      <c r="AC464" t="s">
        <v>74</v>
      </c>
      <c r="AD464" t="s">
        <v>74</v>
      </c>
      <c r="AE464" t="s">
        <v>74</v>
      </c>
      <c r="AF464" t="s">
        <v>74</v>
      </c>
      <c r="AG464">
        <v>50</v>
      </c>
      <c r="AH464">
        <v>73</v>
      </c>
      <c r="AI464">
        <v>86</v>
      </c>
      <c r="AJ464">
        <v>0</v>
      </c>
      <c r="AK464">
        <v>31</v>
      </c>
      <c r="AL464" t="s">
        <v>2746</v>
      </c>
      <c r="AM464" t="s">
        <v>2747</v>
      </c>
      <c r="AN464" t="s">
        <v>2924</v>
      </c>
      <c r="AO464" t="s">
        <v>2891</v>
      </c>
      <c r="AP464" t="s">
        <v>2925</v>
      </c>
      <c r="AQ464" t="s">
        <v>74</v>
      </c>
      <c r="AR464" t="s">
        <v>2892</v>
      </c>
      <c r="AS464" t="s">
        <v>2893</v>
      </c>
      <c r="AT464" t="s">
        <v>4117</v>
      </c>
      <c r="AU464">
        <v>2008</v>
      </c>
      <c r="AV464">
        <v>31</v>
      </c>
      <c r="AW464">
        <v>7</v>
      </c>
      <c r="AX464" t="s">
        <v>74</v>
      </c>
      <c r="AY464" t="s">
        <v>74</v>
      </c>
      <c r="AZ464" t="s">
        <v>74</v>
      </c>
      <c r="BA464" t="s">
        <v>74</v>
      </c>
      <c r="BB464">
        <v>771</v>
      </c>
      <c r="BC464">
        <v>781</v>
      </c>
      <c r="BD464" t="s">
        <v>74</v>
      </c>
      <c r="BE464" t="s">
        <v>5173</v>
      </c>
      <c r="BF464" t="str">
        <f>HYPERLINK("http://dx.doi.org/10.1007/s00300-008-0415-2","http://dx.doi.org/10.1007/s00300-008-0415-2")</f>
        <v>http://dx.doi.org/10.1007/s00300-008-0415-2</v>
      </c>
      <c r="BG464" t="s">
        <v>74</v>
      </c>
      <c r="BH464" t="s">
        <v>74</v>
      </c>
      <c r="BI464">
        <v>11</v>
      </c>
      <c r="BJ464" t="s">
        <v>2895</v>
      </c>
      <c r="BK464" t="s">
        <v>419</v>
      </c>
      <c r="BL464" t="s">
        <v>2896</v>
      </c>
      <c r="BM464" t="s">
        <v>5174</v>
      </c>
      <c r="BN464" t="s">
        <v>74</v>
      </c>
      <c r="BO464" t="s">
        <v>74</v>
      </c>
      <c r="BP464" t="s">
        <v>74</v>
      </c>
      <c r="BQ464" t="s">
        <v>74</v>
      </c>
      <c r="BR464" t="s">
        <v>101</v>
      </c>
      <c r="BS464" t="s">
        <v>5175</v>
      </c>
      <c r="BT464" t="str">
        <f>HYPERLINK("https%3A%2F%2Fwww.webofscience.com%2Fwos%2Fwoscc%2Ffull-record%2FWOS:000256011100001","View Full Record in Web of Science")</f>
        <v>View Full Record in Web of Science</v>
      </c>
    </row>
    <row r="465" spans="1:72" x14ac:dyDescent="0.15">
      <c r="A465" t="s">
        <v>72</v>
      </c>
      <c r="B465" t="s">
        <v>5176</v>
      </c>
      <c r="C465" t="s">
        <v>74</v>
      </c>
      <c r="D465" t="s">
        <v>74</v>
      </c>
      <c r="E465" t="s">
        <v>74</v>
      </c>
      <c r="F465" t="s">
        <v>5177</v>
      </c>
      <c r="G465" t="s">
        <v>74</v>
      </c>
      <c r="H465" t="s">
        <v>74</v>
      </c>
      <c r="I465" t="s">
        <v>5178</v>
      </c>
      <c r="J465" t="s">
        <v>2883</v>
      </c>
      <c r="K465" t="s">
        <v>74</v>
      </c>
      <c r="L465" t="s">
        <v>74</v>
      </c>
      <c r="M465" t="s">
        <v>78</v>
      </c>
      <c r="N465" t="s">
        <v>2737</v>
      </c>
      <c r="O465" t="s">
        <v>74</v>
      </c>
      <c r="P465" t="s">
        <v>74</v>
      </c>
      <c r="Q465" t="s">
        <v>74</v>
      </c>
      <c r="R465" t="s">
        <v>74</v>
      </c>
      <c r="S465" t="s">
        <v>74</v>
      </c>
      <c r="T465" t="s">
        <v>5179</v>
      </c>
      <c r="U465" t="s">
        <v>5180</v>
      </c>
      <c r="V465" t="s">
        <v>5181</v>
      </c>
      <c r="W465" t="s">
        <v>5182</v>
      </c>
      <c r="X465" t="s">
        <v>2962</v>
      </c>
      <c r="Y465" t="s">
        <v>5183</v>
      </c>
      <c r="Z465" t="s">
        <v>5184</v>
      </c>
      <c r="AA465" t="s">
        <v>74</v>
      </c>
      <c r="AB465" t="s">
        <v>74</v>
      </c>
      <c r="AC465" t="s">
        <v>74</v>
      </c>
      <c r="AD465" t="s">
        <v>74</v>
      </c>
      <c r="AE465" t="s">
        <v>74</v>
      </c>
      <c r="AF465" t="s">
        <v>74</v>
      </c>
      <c r="AG465">
        <v>50</v>
      </c>
      <c r="AH465">
        <v>65</v>
      </c>
      <c r="AI465">
        <v>72</v>
      </c>
      <c r="AJ465">
        <v>1</v>
      </c>
      <c r="AK465">
        <v>17</v>
      </c>
      <c r="AL465" t="s">
        <v>2746</v>
      </c>
      <c r="AM465" t="s">
        <v>2747</v>
      </c>
      <c r="AN465" t="s">
        <v>2748</v>
      </c>
      <c r="AO465" t="s">
        <v>2891</v>
      </c>
      <c r="AP465" t="s">
        <v>2925</v>
      </c>
      <c r="AQ465" t="s">
        <v>74</v>
      </c>
      <c r="AR465" t="s">
        <v>2892</v>
      </c>
      <c r="AS465" t="s">
        <v>2893</v>
      </c>
      <c r="AT465" t="s">
        <v>4117</v>
      </c>
      <c r="AU465">
        <v>2008</v>
      </c>
      <c r="AV465">
        <v>31</v>
      </c>
      <c r="AW465">
        <v>7</v>
      </c>
      <c r="AX465" t="s">
        <v>74</v>
      </c>
      <c r="AY465" t="s">
        <v>74</v>
      </c>
      <c r="AZ465" t="s">
        <v>74</v>
      </c>
      <c r="BA465" t="s">
        <v>74</v>
      </c>
      <c r="BB465">
        <v>795</v>
      </c>
      <c r="BC465">
        <v>808</v>
      </c>
      <c r="BD465" t="s">
        <v>74</v>
      </c>
      <c r="BE465" t="s">
        <v>5185</v>
      </c>
      <c r="BF465" t="str">
        <f>HYPERLINK("http://dx.doi.org/10.1007/s00300-008-0418-z","http://dx.doi.org/10.1007/s00300-008-0418-z")</f>
        <v>http://dx.doi.org/10.1007/s00300-008-0418-z</v>
      </c>
      <c r="BG465" t="s">
        <v>74</v>
      </c>
      <c r="BH465" t="s">
        <v>74</v>
      </c>
      <c r="BI465">
        <v>14</v>
      </c>
      <c r="BJ465" t="s">
        <v>2895</v>
      </c>
      <c r="BK465" t="s">
        <v>419</v>
      </c>
      <c r="BL465" t="s">
        <v>2896</v>
      </c>
      <c r="BM465" t="s">
        <v>5174</v>
      </c>
      <c r="BN465" t="s">
        <v>74</v>
      </c>
      <c r="BO465" t="s">
        <v>74</v>
      </c>
      <c r="BP465" t="s">
        <v>74</v>
      </c>
      <c r="BQ465" t="s">
        <v>74</v>
      </c>
      <c r="BR465" t="s">
        <v>101</v>
      </c>
      <c r="BS465" t="s">
        <v>5186</v>
      </c>
      <c r="BT465" t="str">
        <f>HYPERLINK("https%3A%2F%2Fwww.webofscience.com%2Fwos%2Fwoscc%2Ffull-record%2FWOS:000256011100003","View Full Record in Web of Science")</f>
        <v>View Full Record in Web of Science</v>
      </c>
    </row>
    <row r="466" spans="1:72" x14ac:dyDescent="0.15">
      <c r="A466" t="s">
        <v>72</v>
      </c>
      <c r="B466" t="s">
        <v>5187</v>
      </c>
      <c r="C466" t="s">
        <v>74</v>
      </c>
      <c r="D466" t="s">
        <v>74</v>
      </c>
      <c r="E466" t="s">
        <v>74</v>
      </c>
      <c r="F466" t="s">
        <v>5188</v>
      </c>
      <c r="G466" t="s">
        <v>74</v>
      </c>
      <c r="H466" t="s">
        <v>74</v>
      </c>
      <c r="I466" t="s">
        <v>5189</v>
      </c>
      <c r="J466" t="s">
        <v>2883</v>
      </c>
      <c r="K466" t="s">
        <v>74</v>
      </c>
      <c r="L466" t="s">
        <v>74</v>
      </c>
      <c r="M466" t="s">
        <v>78</v>
      </c>
      <c r="N466" t="s">
        <v>2737</v>
      </c>
      <c r="O466" t="s">
        <v>74</v>
      </c>
      <c r="P466" t="s">
        <v>74</v>
      </c>
      <c r="Q466" t="s">
        <v>74</v>
      </c>
      <c r="R466" t="s">
        <v>74</v>
      </c>
      <c r="S466" t="s">
        <v>74</v>
      </c>
      <c r="T466" t="s">
        <v>5190</v>
      </c>
      <c r="U466" t="s">
        <v>5191</v>
      </c>
      <c r="V466" t="s">
        <v>5192</v>
      </c>
      <c r="W466" t="s">
        <v>5193</v>
      </c>
      <c r="X466" t="s">
        <v>5194</v>
      </c>
      <c r="Y466" t="s">
        <v>5195</v>
      </c>
      <c r="Z466" t="s">
        <v>5196</v>
      </c>
      <c r="AA466" t="s">
        <v>74</v>
      </c>
      <c r="AB466" t="s">
        <v>5197</v>
      </c>
      <c r="AC466" t="s">
        <v>4152</v>
      </c>
      <c r="AD466" t="s">
        <v>3031</v>
      </c>
      <c r="AE466" t="s">
        <v>74</v>
      </c>
      <c r="AF466" t="s">
        <v>74</v>
      </c>
      <c r="AG466">
        <v>40</v>
      </c>
      <c r="AH466">
        <v>22</v>
      </c>
      <c r="AI466">
        <v>27</v>
      </c>
      <c r="AJ466">
        <v>4</v>
      </c>
      <c r="AK466">
        <v>1102</v>
      </c>
      <c r="AL466" t="s">
        <v>2746</v>
      </c>
      <c r="AM466" t="s">
        <v>2747</v>
      </c>
      <c r="AN466" t="s">
        <v>2748</v>
      </c>
      <c r="AO466" t="s">
        <v>2891</v>
      </c>
      <c r="AP466" t="s">
        <v>74</v>
      </c>
      <c r="AQ466" t="s">
        <v>74</v>
      </c>
      <c r="AR466" t="s">
        <v>2892</v>
      </c>
      <c r="AS466" t="s">
        <v>2893</v>
      </c>
      <c r="AT466" t="s">
        <v>4117</v>
      </c>
      <c r="AU466">
        <v>2008</v>
      </c>
      <c r="AV466">
        <v>31</v>
      </c>
      <c r="AW466">
        <v>7</v>
      </c>
      <c r="AX466" t="s">
        <v>74</v>
      </c>
      <c r="AY466" t="s">
        <v>74</v>
      </c>
      <c r="AZ466" t="s">
        <v>74</v>
      </c>
      <c r="BA466" t="s">
        <v>74</v>
      </c>
      <c r="BB466">
        <v>809</v>
      </c>
      <c r="BC466">
        <v>816</v>
      </c>
      <c r="BD466" t="s">
        <v>74</v>
      </c>
      <c r="BE466" t="s">
        <v>5198</v>
      </c>
      <c r="BF466" t="str">
        <f>HYPERLINK("http://dx.doi.org/10.1007/s00300-008-0419-y","http://dx.doi.org/10.1007/s00300-008-0419-y")</f>
        <v>http://dx.doi.org/10.1007/s00300-008-0419-y</v>
      </c>
      <c r="BG466" t="s">
        <v>74</v>
      </c>
      <c r="BH466" t="s">
        <v>74</v>
      </c>
      <c r="BI466">
        <v>8</v>
      </c>
      <c r="BJ466" t="s">
        <v>2895</v>
      </c>
      <c r="BK466" t="s">
        <v>419</v>
      </c>
      <c r="BL466" t="s">
        <v>2896</v>
      </c>
      <c r="BM466" t="s">
        <v>5174</v>
      </c>
      <c r="BN466" t="s">
        <v>74</v>
      </c>
      <c r="BO466" t="s">
        <v>74</v>
      </c>
      <c r="BP466" t="s">
        <v>74</v>
      </c>
      <c r="BQ466" t="s">
        <v>74</v>
      </c>
      <c r="BR466" t="s">
        <v>101</v>
      </c>
      <c r="BS466" t="s">
        <v>5199</v>
      </c>
      <c r="BT466" t="str">
        <f>HYPERLINK("https%3A%2F%2Fwww.webofscience.com%2Fwos%2Fwoscc%2Ffull-record%2FWOS:000256011100004","View Full Record in Web of Science")</f>
        <v>View Full Record in Web of Science</v>
      </c>
    </row>
    <row r="467" spans="1:72" x14ac:dyDescent="0.15">
      <c r="A467" t="s">
        <v>72</v>
      </c>
      <c r="B467" t="s">
        <v>5200</v>
      </c>
      <c r="C467" t="s">
        <v>74</v>
      </c>
      <c r="D467" t="s">
        <v>74</v>
      </c>
      <c r="E467" t="s">
        <v>74</v>
      </c>
      <c r="F467" t="s">
        <v>5201</v>
      </c>
      <c r="G467" t="s">
        <v>74</v>
      </c>
      <c r="H467" t="s">
        <v>74</v>
      </c>
      <c r="I467" t="s">
        <v>5202</v>
      </c>
      <c r="J467" t="s">
        <v>2883</v>
      </c>
      <c r="K467" t="s">
        <v>74</v>
      </c>
      <c r="L467" t="s">
        <v>74</v>
      </c>
      <c r="M467" t="s">
        <v>78</v>
      </c>
      <c r="N467" t="s">
        <v>2737</v>
      </c>
      <c r="O467" t="s">
        <v>74</v>
      </c>
      <c r="P467" t="s">
        <v>74</v>
      </c>
      <c r="Q467" t="s">
        <v>74</v>
      </c>
      <c r="R467" t="s">
        <v>74</v>
      </c>
      <c r="S467" t="s">
        <v>74</v>
      </c>
      <c r="T467" t="s">
        <v>5203</v>
      </c>
      <c r="U467" t="s">
        <v>5204</v>
      </c>
      <c r="V467" t="s">
        <v>5205</v>
      </c>
      <c r="W467" t="s">
        <v>5206</v>
      </c>
      <c r="X467" t="s">
        <v>5207</v>
      </c>
      <c r="Y467" t="s">
        <v>5208</v>
      </c>
      <c r="Z467" t="s">
        <v>5209</v>
      </c>
      <c r="AA467" t="s">
        <v>74</v>
      </c>
      <c r="AB467" t="s">
        <v>74</v>
      </c>
      <c r="AC467" t="s">
        <v>74</v>
      </c>
      <c r="AD467" t="s">
        <v>74</v>
      </c>
      <c r="AE467" t="s">
        <v>74</v>
      </c>
      <c r="AF467" t="s">
        <v>74</v>
      </c>
      <c r="AG467">
        <v>34</v>
      </c>
      <c r="AH467">
        <v>23</v>
      </c>
      <c r="AI467">
        <v>27</v>
      </c>
      <c r="AJ467">
        <v>1</v>
      </c>
      <c r="AK467">
        <v>22</v>
      </c>
      <c r="AL467" t="s">
        <v>2746</v>
      </c>
      <c r="AM467" t="s">
        <v>2747</v>
      </c>
      <c r="AN467" t="s">
        <v>2924</v>
      </c>
      <c r="AO467" t="s">
        <v>2891</v>
      </c>
      <c r="AP467" t="s">
        <v>2925</v>
      </c>
      <c r="AQ467" t="s">
        <v>74</v>
      </c>
      <c r="AR467" t="s">
        <v>2892</v>
      </c>
      <c r="AS467" t="s">
        <v>2893</v>
      </c>
      <c r="AT467" t="s">
        <v>4117</v>
      </c>
      <c r="AU467">
        <v>2008</v>
      </c>
      <c r="AV467">
        <v>31</v>
      </c>
      <c r="AW467">
        <v>7</v>
      </c>
      <c r="AX467" t="s">
        <v>74</v>
      </c>
      <c r="AY467" t="s">
        <v>74</v>
      </c>
      <c r="AZ467" t="s">
        <v>74</v>
      </c>
      <c r="BA467" t="s">
        <v>74</v>
      </c>
      <c r="BB467">
        <v>817</v>
      </c>
      <c r="BC467">
        <v>825</v>
      </c>
      <c r="BD467" t="s">
        <v>74</v>
      </c>
      <c r="BE467" t="s">
        <v>5210</v>
      </c>
      <c r="BF467" t="str">
        <f>HYPERLINK("http://dx.doi.org/10.1007/s00300-008-0420-5","http://dx.doi.org/10.1007/s00300-008-0420-5")</f>
        <v>http://dx.doi.org/10.1007/s00300-008-0420-5</v>
      </c>
      <c r="BG467" t="s">
        <v>74</v>
      </c>
      <c r="BH467" t="s">
        <v>74</v>
      </c>
      <c r="BI467">
        <v>9</v>
      </c>
      <c r="BJ467" t="s">
        <v>2895</v>
      </c>
      <c r="BK467" t="s">
        <v>419</v>
      </c>
      <c r="BL467" t="s">
        <v>2896</v>
      </c>
      <c r="BM467" t="s">
        <v>5174</v>
      </c>
      <c r="BN467" t="s">
        <v>74</v>
      </c>
      <c r="BO467" t="s">
        <v>74</v>
      </c>
      <c r="BP467" t="s">
        <v>74</v>
      </c>
      <c r="BQ467" t="s">
        <v>74</v>
      </c>
      <c r="BR467" t="s">
        <v>101</v>
      </c>
      <c r="BS467" t="s">
        <v>5211</v>
      </c>
      <c r="BT467" t="str">
        <f>HYPERLINK("https%3A%2F%2Fwww.webofscience.com%2Fwos%2Fwoscc%2Ffull-record%2FWOS:000256011100005","View Full Record in Web of Science")</f>
        <v>View Full Record in Web of Science</v>
      </c>
    </row>
    <row r="468" spans="1:72" x14ac:dyDescent="0.15">
      <c r="A468" t="s">
        <v>72</v>
      </c>
      <c r="B468" t="s">
        <v>5212</v>
      </c>
      <c r="C468" t="s">
        <v>74</v>
      </c>
      <c r="D468" t="s">
        <v>74</v>
      </c>
      <c r="E468" t="s">
        <v>74</v>
      </c>
      <c r="F468" t="s">
        <v>5213</v>
      </c>
      <c r="G468" t="s">
        <v>74</v>
      </c>
      <c r="H468" t="s">
        <v>74</v>
      </c>
      <c r="I468" t="s">
        <v>5214</v>
      </c>
      <c r="J468" t="s">
        <v>2883</v>
      </c>
      <c r="K468" t="s">
        <v>74</v>
      </c>
      <c r="L468" t="s">
        <v>74</v>
      </c>
      <c r="M468" t="s">
        <v>78</v>
      </c>
      <c r="N468" t="s">
        <v>2737</v>
      </c>
      <c r="O468" t="s">
        <v>74</v>
      </c>
      <c r="P468" t="s">
        <v>74</v>
      </c>
      <c r="Q468" t="s">
        <v>74</v>
      </c>
      <c r="R468" t="s">
        <v>74</v>
      </c>
      <c r="S468" t="s">
        <v>74</v>
      </c>
      <c r="T468" t="s">
        <v>5215</v>
      </c>
      <c r="U468" t="s">
        <v>5216</v>
      </c>
      <c r="V468" t="s">
        <v>5217</v>
      </c>
      <c r="W468" t="s">
        <v>5218</v>
      </c>
      <c r="X468" t="s">
        <v>5219</v>
      </c>
      <c r="Y468" t="s">
        <v>5220</v>
      </c>
      <c r="Z468" t="s">
        <v>5221</v>
      </c>
      <c r="AA468" t="s">
        <v>74</v>
      </c>
      <c r="AB468" t="s">
        <v>5222</v>
      </c>
      <c r="AC468" t="s">
        <v>74</v>
      </c>
      <c r="AD468" t="s">
        <v>74</v>
      </c>
      <c r="AE468" t="s">
        <v>74</v>
      </c>
      <c r="AF468" t="s">
        <v>74</v>
      </c>
      <c r="AG468">
        <v>63</v>
      </c>
      <c r="AH468">
        <v>28</v>
      </c>
      <c r="AI468">
        <v>32</v>
      </c>
      <c r="AJ468">
        <v>0</v>
      </c>
      <c r="AK468">
        <v>19</v>
      </c>
      <c r="AL468" t="s">
        <v>2746</v>
      </c>
      <c r="AM468" t="s">
        <v>2747</v>
      </c>
      <c r="AN468" t="s">
        <v>2924</v>
      </c>
      <c r="AO468" t="s">
        <v>2891</v>
      </c>
      <c r="AP468" t="s">
        <v>2925</v>
      </c>
      <c r="AQ468" t="s">
        <v>74</v>
      </c>
      <c r="AR468" t="s">
        <v>2892</v>
      </c>
      <c r="AS468" t="s">
        <v>2893</v>
      </c>
      <c r="AT468" t="s">
        <v>4117</v>
      </c>
      <c r="AU468">
        <v>2008</v>
      </c>
      <c r="AV468">
        <v>31</v>
      </c>
      <c r="AW468">
        <v>7</v>
      </c>
      <c r="AX468" t="s">
        <v>74</v>
      </c>
      <c r="AY468" t="s">
        <v>74</v>
      </c>
      <c r="AZ468" t="s">
        <v>74</v>
      </c>
      <c r="BA468" t="s">
        <v>74</v>
      </c>
      <c r="BB468">
        <v>827</v>
      </c>
      <c r="BC468">
        <v>835</v>
      </c>
      <c r="BD468" t="s">
        <v>74</v>
      </c>
      <c r="BE468" t="s">
        <v>5223</v>
      </c>
      <c r="BF468" t="str">
        <f>HYPERLINK("http://dx.doi.org/10.1007/s00300-008-0421-4","http://dx.doi.org/10.1007/s00300-008-0421-4")</f>
        <v>http://dx.doi.org/10.1007/s00300-008-0421-4</v>
      </c>
      <c r="BG468" t="s">
        <v>74</v>
      </c>
      <c r="BH468" t="s">
        <v>74</v>
      </c>
      <c r="BI468">
        <v>9</v>
      </c>
      <c r="BJ468" t="s">
        <v>2895</v>
      </c>
      <c r="BK468" t="s">
        <v>419</v>
      </c>
      <c r="BL468" t="s">
        <v>2896</v>
      </c>
      <c r="BM468" t="s">
        <v>5174</v>
      </c>
      <c r="BN468" t="s">
        <v>74</v>
      </c>
      <c r="BO468" t="s">
        <v>74</v>
      </c>
      <c r="BP468" t="s">
        <v>74</v>
      </c>
      <c r="BQ468" t="s">
        <v>74</v>
      </c>
      <c r="BR468" t="s">
        <v>101</v>
      </c>
      <c r="BS468" t="s">
        <v>5224</v>
      </c>
      <c r="BT468" t="str">
        <f>HYPERLINK("https%3A%2F%2Fwww.webofscience.com%2Fwos%2Fwoscc%2Ffull-record%2FWOS:000256011100006","View Full Record in Web of Science")</f>
        <v>View Full Record in Web of Science</v>
      </c>
    </row>
    <row r="469" spans="1:72" x14ac:dyDescent="0.15">
      <c r="A469" t="s">
        <v>72</v>
      </c>
      <c r="B469" t="s">
        <v>5225</v>
      </c>
      <c r="C469" t="s">
        <v>74</v>
      </c>
      <c r="D469" t="s">
        <v>74</v>
      </c>
      <c r="E469" t="s">
        <v>74</v>
      </c>
      <c r="F469" t="s">
        <v>5226</v>
      </c>
      <c r="G469" t="s">
        <v>74</v>
      </c>
      <c r="H469" t="s">
        <v>74</v>
      </c>
      <c r="I469" t="s">
        <v>5227</v>
      </c>
      <c r="J469" t="s">
        <v>2883</v>
      </c>
      <c r="K469" t="s">
        <v>74</v>
      </c>
      <c r="L469" t="s">
        <v>74</v>
      </c>
      <c r="M469" t="s">
        <v>78</v>
      </c>
      <c r="N469" t="s">
        <v>2737</v>
      </c>
      <c r="O469" t="s">
        <v>74</v>
      </c>
      <c r="P469" t="s">
        <v>74</v>
      </c>
      <c r="Q469" t="s">
        <v>74</v>
      </c>
      <c r="R469" t="s">
        <v>74</v>
      </c>
      <c r="S469" t="s">
        <v>74</v>
      </c>
      <c r="T469" t="s">
        <v>5228</v>
      </c>
      <c r="U469" t="s">
        <v>5229</v>
      </c>
      <c r="V469" t="s">
        <v>5230</v>
      </c>
      <c r="W469" t="s">
        <v>5231</v>
      </c>
      <c r="X469" t="s">
        <v>2786</v>
      </c>
      <c r="Y469" t="s">
        <v>5232</v>
      </c>
      <c r="Z469" t="s">
        <v>5233</v>
      </c>
      <c r="AA469" t="s">
        <v>5234</v>
      </c>
      <c r="AB469" t="s">
        <v>5235</v>
      </c>
      <c r="AC469" t="s">
        <v>4704</v>
      </c>
      <c r="AD469" t="s">
        <v>3031</v>
      </c>
      <c r="AE469" t="s">
        <v>74</v>
      </c>
      <c r="AF469" t="s">
        <v>74</v>
      </c>
      <c r="AG469">
        <v>45</v>
      </c>
      <c r="AH469">
        <v>105</v>
      </c>
      <c r="AI469">
        <v>113</v>
      </c>
      <c r="AJ469">
        <v>7</v>
      </c>
      <c r="AK469">
        <v>41</v>
      </c>
      <c r="AL469" t="s">
        <v>2746</v>
      </c>
      <c r="AM469" t="s">
        <v>2747</v>
      </c>
      <c r="AN469" t="s">
        <v>2748</v>
      </c>
      <c r="AO469" t="s">
        <v>2891</v>
      </c>
      <c r="AP469" t="s">
        <v>2925</v>
      </c>
      <c r="AQ469" t="s">
        <v>74</v>
      </c>
      <c r="AR469" t="s">
        <v>2892</v>
      </c>
      <c r="AS469" t="s">
        <v>2893</v>
      </c>
      <c r="AT469" t="s">
        <v>4117</v>
      </c>
      <c r="AU469">
        <v>2008</v>
      </c>
      <c r="AV469">
        <v>31</v>
      </c>
      <c r="AW469">
        <v>7</v>
      </c>
      <c r="AX469" t="s">
        <v>74</v>
      </c>
      <c r="AY469" t="s">
        <v>74</v>
      </c>
      <c r="AZ469" t="s">
        <v>74</v>
      </c>
      <c r="BA469" t="s">
        <v>74</v>
      </c>
      <c r="BB469">
        <v>837</v>
      </c>
      <c r="BC469">
        <v>851</v>
      </c>
      <c r="BD469" t="s">
        <v>74</v>
      </c>
      <c r="BE469" t="s">
        <v>5236</v>
      </c>
      <c r="BF469" t="str">
        <f>HYPERLINK("http://dx.doi.org/10.1007/s00300-008-0423-2","http://dx.doi.org/10.1007/s00300-008-0423-2")</f>
        <v>http://dx.doi.org/10.1007/s00300-008-0423-2</v>
      </c>
      <c r="BG469" t="s">
        <v>74</v>
      </c>
      <c r="BH469" t="s">
        <v>74</v>
      </c>
      <c r="BI469">
        <v>15</v>
      </c>
      <c r="BJ469" t="s">
        <v>2895</v>
      </c>
      <c r="BK469" t="s">
        <v>419</v>
      </c>
      <c r="BL469" t="s">
        <v>2896</v>
      </c>
      <c r="BM469" t="s">
        <v>5174</v>
      </c>
      <c r="BN469" t="s">
        <v>74</v>
      </c>
      <c r="BO469" t="s">
        <v>74</v>
      </c>
      <c r="BP469" t="s">
        <v>74</v>
      </c>
      <c r="BQ469" t="s">
        <v>74</v>
      </c>
      <c r="BR469" t="s">
        <v>101</v>
      </c>
      <c r="BS469" t="s">
        <v>5237</v>
      </c>
      <c r="BT469" t="str">
        <f>HYPERLINK("https%3A%2F%2Fwww.webofscience.com%2Fwos%2Fwoscc%2Ffull-record%2FWOS:000256011100007","View Full Record in Web of Science")</f>
        <v>View Full Record in Web of Science</v>
      </c>
    </row>
    <row r="470" spans="1:72" x14ac:dyDescent="0.15">
      <c r="A470" t="s">
        <v>72</v>
      </c>
      <c r="B470" t="s">
        <v>5238</v>
      </c>
      <c r="C470" t="s">
        <v>74</v>
      </c>
      <c r="D470" t="s">
        <v>74</v>
      </c>
      <c r="E470" t="s">
        <v>74</v>
      </c>
      <c r="F470" t="s">
        <v>5239</v>
      </c>
      <c r="G470" t="s">
        <v>74</v>
      </c>
      <c r="H470" t="s">
        <v>74</v>
      </c>
      <c r="I470" t="s">
        <v>5240</v>
      </c>
      <c r="J470" t="s">
        <v>2883</v>
      </c>
      <c r="K470" t="s">
        <v>74</v>
      </c>
      <c r="L470" t="s">
        <v>74</v>
      </c>
      <c r="M470" t="s">
        <v>78</v>
      </c>
      <c r="N470" t="s">
        <v>2737</v>
      </c>
      <c r="O470" t="s">
        <v>74</v>
      </c>
      <c r="P470" t="s">
        <v>74</v>
      </c>
      <c r="Q470" t="s">
        <v>74</v>
      </c>
      <c r="R470" t="s">
        <v>74</v>
      </c>
      <c r="S470" t="s">
        <v>74</v>
      </c>
      <c r="T470" t="s">
        <v>5241</v>
      </c>
      <c r="U470" t="s">
        <v>5242</v>
      </c>
      <c r="V470" t="s">
        <v>5243</v>
      </c>
      <c r="W470" t="s">
        <v>5244</v>
      </c>
      <c r="X470" t="s">
        <v>5245</v>
      </c>
      <c r="Y470" t="s">
        <v>5246</v>
      </c>
      <c r="Z470" t="s">
        <v>5247</v>
      </c>
      <c r="AA470" t="s">
        <v>5248</v>
      </c>
      <c r="AB470" t="s">
        <v>5249</v>
      </c>
      <c r="AC470" t="s">
        <v>74</v>
      </c>
      <c r="AD470" t="s">
        <v>74</v>
      </c>
      <c r="AE470" t="s">
        <v>74</v>
      </c>
      <c r="AF470" t="s">
        <v>74</v>
      </c>
      <c r="AG470">
        <v>50</v>
      </c>
      <c r="AH470">
        <v>41</v>
      </c>
      <c r="AI470">
        <v>47</v>
      </c>
      <c r="AJ470">
        <v>0</v>
      </c>
      <c r="AK470">
        <v>35</v>
      </c>
      <c r="AL470" t="s">
        <v>2746</v>
      </c>
      <c r="AM470" t="s">
        <v>2747</v>
      </c>
      <c r="AN470" t="s">
        <v>2924</v>
      </c>
      <c r="AO470" t="s">
        <v>2891</v>
      </c>
      <c r="AP470" t="s">
        <v>2925</v>
      </c>
      <c r="AQ470" t="s">
        <v>74</v>
      </c>
      <c r="AR470" t="s">
        <v>2892</v>
      </c>
      <c r="AS470" t="s">
        <v>2893</v>
      </c>
      <c r="AT470" t="s">
        <v>4117</v>
      </c>
      <c r="AU470">
        <v>2008</v>
      </c>
      <c r="AV470">
        <v>31</v>
      </c>
      <c r="AW470">
        <v>7</v>
      </c>
      <c r="AX470" t="s">
        <v>74</v>
      </c>
      <c r="AY470" t="s">
        <v>74</v>
      </c>
      <c r="AZ470" t="s">
        <v>74</v>
      </c>
      <c r="BA470" t="s">
        <v>74</v>
      </c>
      <c r="BB470">
        <v>853</v>
      </c>
      <c r="BC470">
        <v>865</v>
      </c>
      <c r="BD470" t="s">
        <v>74</v>
      </c>
      <c r="BE470" t="s">
        <v>5250</v>
      </c>
      <c r="BF470" t="str">
        <f>HYPERLINK("http://dx.doi.org/10.1007/s00300-008-0424-1","http://dx.doi.org/10.1007/s00300-008-0424-1")</f>
        <v>http://dx.doi.org/10.1007/s00300-008-0424-1</v>
      </c>
      <c r="BG470" t="s">
        <v>74</v>
      </c>
      <c r="BH470" t="s">
        <v>74</v>
      </c>
      <c r="BI470">
        <v>13</v>
      </c>
      <c r="BJ470" t="s">
        <v>2895</v>
      </c>
      <c r="BK470" t="s">
        <v>419</v>
      </c>
      <c r="BL470" t="s">
        <v>2896</v>
      </c>
      <c r="BM470" t="s">
        <v>5174</v>
      </c>
      <c r="BN470" t="s">
        <v>74</v>
      </c>
      <c r="BO470" t="s">
        <v>74</v>
      </c>
      <c r="BP470" t="s">
        <v>74</v>
      </c>
      <c r="BQ470" t="s">
        <v>74</v>
      </c>
      <c r="BR470" t="s">
        <v>101</v>
      </c>
      <c r="BS470" t="s">
        <v>5251</v>
      </c>
      <c r="BT470" t="str">
        <f>HYPERLINK("https%3A%2F%2Fwww.webofscience.com%2Fwos%2Fwoscc%2Ffull-record%2FWOS:000256011100008","View Full Record in Web of Science")</f>
        <v>View Full Record in Web of Science</v>
      </c>
    </row>
    <row r="471" spans="1:72" x14ac:dyDescent="0.15">
      <c r="A471" t="s">
        <v>72</v>
      </c>
      <c r="B471" t="s">
        <v>5252</v>
      </c>
      <c r="C471" t="s">
        <v>74</v>
      </c>
      <c r="D471" t="s">
        <v>74</v>
      </c>
      <c r="E471" t="s">
        <v>74</v>
      </c>
      <c r="F471" t="s">
        <v>5253</v>
      </c>
      <c r="G471" t="s">
        <v>74</v>
      </c>
      <c r="H471" t="s">
        <v>74</v>
      </c>
      <c r="I471" t="s">
        <v>5254</v>
      </c>
      <c r="J471" t="s">
        <v>2883</v>
      </c>
      <c r="K471" t="s">
        <v>74</v>
      </c>
      <c r="L471" t="s">
        <v>74</v>
      </c>
      <c r="M471" t="s">
        <v>78</v>
      </c>
      <c r="N471" t="s">
        <v>2737</v>
      </c>
      <c r="O471" t="s">
        <v>74</v>
      </c>
      <c r="P471" t="s">
        <v>74</v>
      </c>
      <c r="Q471" t="s">
        <v>74</v>
      </c>
      <c r="R471" t="s">
        <v>74</v>
      </c>
      <c r="S471" t="s">
        <v>74</v>
      </c>
      <c r="T471" t="s">
        <v>5255</v>
      </c>
      <c r="U471" t="s">
        <v>5256</v>
      </c>
      <c r="V471" t="s">
        <v>5257</v>
      </c>
      <c r="W471" t="s">
        <v>5258</v>
      </c>
      <c r="X471" t="s">
        <v>4106</v>
      </c>
      <c r="Y471" t="s">
        <v>4107</v>
      </c>
      <c r="Z471" t="s">
        <v>4108</v>
      </c>
      <c r="AA471" t="s">
        <v>74</v>
      </c>
      <c r="AB471" t="s">
        <v>74</v>
      </c>
      <c r="AC471" t="s">
        <v>74</v>
      </c>
      <c r="AD471" t="s">
        <v>74</v>
      </c>
      <c r="AE471" t="s">
        <v>74</v>
      </c>
      <c r="AF471" t="s">
        <v>74</v>
      </c>
      <c r="AG471">
        <v>13</v>
      </c>
      <c r="AH471">
        <v>18</v>
      </c>
      <c r="AI471">
        <v>20</v>
      </c>
      <c r="AJ471">
        <v>1</v>
      </c>
      <c r="AK471">
        <v>11</v>
      </c>
      <c r="AL471" t="s">
        <v>2746</v>
      </c>
      <c r="AM471" t="s">
        <v>2747</v>
      </c>
      <c r="AN471" t="s">
        <v>2748</v>
      </c>
      <c r="AO471" t="s">
        <v>2891</v>
      </c>
      <c r="AP471" t="s">
        <v>74</v>
      </c>
      <c r="AQ471" t="s">
        <v>74</v>
      </c>
      <c r="AR471" t="s">
        <v>2892</v>
      </c>
      <c r="AS471" t="s">
        <v>2893</v>
      </c>
      <c r="AT471" t="s">
        <v>4117</v>
      </c>
      <c r="AU471">
        <v>2008</v>
      </c>
      <c r="AV471">
        <v>31</v>
      </c>
      <c r="AW471">
        <v>7</v>
      </c>
      <c r="AX471" t="s">
        <v>74</v>
      </c>
      <c r="AY471" t="s">
        <v>74</v>
      </c>
      <c r="AZ471" t="s">
        <v>74</v>
      </c>
      <c r="BA471" t="s">
        <v>74</v>
      </c>
      <c r="BB471">
        <v>889</v>
      </c>
      <c r="BC471">
        <v>892</v>
      </c>
      <c r="BD471" t="s">
        <v>74</v>
      </c>
      <c r="BE471" t="s">
        <v>5259</v>
      </c>
      <c r="BF471" t="str">
        <f>HYPERLINK("http://dx.doi.org/10.1007/s00300-008-0445-9","http://dx.doi.org/10.1007/s00300-008-0445-9")</f>
        <v>http://dx.doi.org/10.1007/s00300-008-0445-9</v>
      </c>
      <c r="BG471" t="s">
        <v>74</v>
      </c>
      <c r="BH471" t="s">
        <v>74</v>
      </c>
      <c r="BI471">
        <v>4</v>
      </c>
      <c r="BJ471" t="s">
        <v>2895</v>
      </c>
      <c r="BK471" t="s">
        <v>419</v>
      </c>
      <c r="BL471" t="s">
        <v>2896</v>
      </c>
      <c r="BM471" t="s">
        <v>5174</v>
      </c>
      <c r="BN471" t="s">
        <v>74</v>
      </c>
      <c r="BO471" t="s">
        <v>74</v>
      </c>
      <c r="BP471" t="s">
        <v>74</v>
      </c>
      <c r="BQ471" t="s">
        <v>74</v>
      </c>
      <c r="BR471" t="s">
        <v>101</v>
      </c>
      <c r="BS471" t="s">
        <v>5260</v>
      </c>
      <c r="BT471" t="str">
        <f>HYPERLINK("https%3A%2F%2Fwww.webofscience.com%2Fwos%2Fwoscc%2Ffull-record%2FWOS:000256011100011","View Full Record in Web of Science")</f>
        <v>View Full Record in Web of Science</v>
      </c>
    </row>
    <row r="472" spans="1:72" x14ac:dyDescent="0.15">
      <c r="A472" t="s">
        <v>72</v>
      </c>
      <c r="B472" t="s">
        <v>5261</v>
      </c>
      <c r="C472" t="s">
        <v>74</v>
      </c>
      <c r="D472" t="s">
        <v>74</v>
      </c>
      <c r="E472" t="s">
        <v>74</v>
      </c>
      <c r="F472" t="s">
        <v>5262</v>
      </c>
      <c r="G472" t="s">
        <v>74</v>
      </c>
      <c r="H472" t="s">
        <v>74</v>
      </c>
      <c r="I472" t="s">
        <v>5263</v>
      </c>
      <c r="J472" t="s">
        <v>5264</v>
      </c>
      <c r="K472" t="s">
        <v>74</v>
      </c>
      <c r="L472" t="s">
        <v>74</v>
      </c>
      <c r="M472" t="s">
        <v>78</v>
      </c>
      <c r="N472" t="s">
        <v>5265</v>
      </c>
      <c r="O472" t="s">
        <v>74</v>
      </c>
      <c r="P472" t="s">
        <v>74</v>
      </c>
      <c r="Q472" t="s">
        <v>74</v>
      </c>
      <c r="R472" t="s">
        <v>74</v>
      </c>
      <c r="S472" t="s">
        <v>74</v>
      </c>
      <c r="T472" t="s">
        <v>74</v>
      </c>
      <c r="U472" t="s">
        <v>74</v>
      </c>
      <c r="V472" t="s">
        <v>74</v>
      </c>
      <c r="W472" t="s">
        <v>5266</v>
      </c>
      <c r="X472" t="s">
        <v>5267</v>
      </c>
      <c r="Y472" t="s">
        <v>5268</v>
      </c>
      <c r="Z472" t="s">
        <v>5269</v>
      </c>
      <c r="AA472" t="s">
        <v>5270</v>
      </c>
      <c r="AB472" t="s">
        <v>5271</v>
      </c>
      <c r="AC472" t="s">
        <v>74</v>
      </c>
      <c r="AD472" t="s">
        <v>74</v>
      </c>
      <c r="AE472" t="s">
        <v>74</v>
      </c>
      <c r="AF472" t="s">
        <v>74</v>
      </c>
      <c r="AG472">
        <v>1</v>
      </c>
      <c r="AH472">
        <v>0</v>
      </c>
      <c r="AI472">
        <v>0</v>
      </c>
      <c r="AJ472">
        <v>0</v>
      </c>
      <c r="AK472">
        <v>1</v>
      </c>
      <c r="AL472" t="s">
        <v>3007</v>
      </c>
      <c r="AM472" t="s">
        <v>3008</v>
      </c>
      <c r="AN472" t="s">
        <v>3009</v>
      </c>
      <c r="AO472" t="s">
        <v>5272</v>
      </c>
      <c r="AP472" t="s">
        <v>74</v>
      </c>
      <c r="AQ472" t="s">
        <v>74</v>
      </c>
      <c r="AR472" t="s">
        <v>5273</v>
      </c>
      <c r="AS472" t="s">
        <v>5274</v>
      </c>
      <c r="AT472" t="s">
        <v>4117</v>
      </c>
      <c r="AU472">
        <v>2008</v>
      </c>
      <c r="AV472">
        <v>77</v>
      </c>
      <c r="AW472">
        <v>4</v>
      </c>
      <c r="AX472" t="s">
        <v>74</v>
      </c>
      <c r="AY472" t="s">
        <v>74</v>
      </c>
      <c r="AZ472" t="s">
        <v>74</v>
      </c>
      <c r="BA472" t="s">
        <v>74</v>
      </c>
      <c r="BB472">
        <v>273</v>
      </c>
      <c r="BC472">
        <v>275</v>
      </c>
      <c r="BD472" t="s">
        <v>74</v>
      </c>
      <c r="BE472" t="s">
        <v>5275</v>
      </c>
      <c r="BF472" t="str">
        <f>HYPERLINK("http://dx.doi.org/10.1016/j.pocean.2007.05.008","http://dx.doi.org/10.1016/j.pocean.2007.05.008")</f>
        <v>http://dx.doi.org/10.1016/j.pocean.2007.05.008</v>
      </c>
      <c r="BG472" t="s">
        <v>74</v>
      </c>
      <c r="BH472" t="s">
        <v>74</v>
      </c>
      <c r="BI472">
        <v>3</v>
      </c>
      <c r="BJ472" t="s">
        <v>3447</v>
      </c>
      <c r="BK472" t="s">
        <v>419</v>
      </c>
      <c r="BL472" t="s">
        <v>3447</v>
      </c>
      <c r="BM472" t="s">
        <v>5276</v>
      </c>
      <c r="BN472" t="s">
        <v>74</v>
      </c>
      <c r="BO472" t="s">
        <v>74</v>
      </c>
      <c r="BP472" t="s">
        <v>74</v>
      </c>
      <c r="BQ472" t="s">
        <v>74</v>
      </c>
      <c r="BR472" t="s">
        <v>101</v>
      </c>
      <c r="BS472" t="s">
        <v>5277</v>
      </c>
      <c r="BT472" t="str">
        <f>HYPERLINK("https%3A%2F%2Fwww.webofscience.com%2Fwos%2Fwoscc%2Ffull-record%2FWOS:000258021600002","View Full Record in Web of Science")</f>
        <v>View Full Record in Web of Science</v>
      </c>
    </row>
    <row r="473" spans="1:72" x14ac:dyDescent="0.15">
      <c r="A473" t="s">
        <v>72</v>
      </c>
      <c r="B473" t="s">
        <v>5278</v>
      </c>
      <c r="C473" t="s">
        <v>74</v>
      </c>
      <c r="D473" t="s">
        <v>74</v>
      </c>
      <c r="E473" t="s">
        <v>74</v>
      </c>
      <c r="F473" t="s">
        <v>5279</v>
      </c>
      <c r="G473" t="s">
        <v>74</v>
      </c>
      <c r="H473" t="s">
        <v>74</v>
      </c>
      <c r="I473" t="s">
        <v>5280</v>
      </c>
      <c r="J473" t="s">
        <v>5264</v>
      </c>
      <c r="K473" t="s">
        <v>74</v>
      </c>
      <c r="L473" t="s">
        <v>74</v>
      </c>
      <c r="M473" t="s">
        <v>78</v>
      </c>
      <c r="N473" t="s">
        <v>2958</v>
      </c>
      <c r="O473" t="s">
        <v>74</v>
      </c>
      <c r="P473" t="s">
        <v>74</v>
      </c>
      <c r="Q473" t="s">
        <v>74</v>
      </c>
      <c r="R473" t="s">
        <v>74</v>
      </c>
      <c r="S473" t="s">
        <v>74</v>
      </c>
      <c r="T473" t="s">
        <v>5281</v>
      </c>
      <c r="U473" t="s">
        <v>5282</v>
      </c>
      <c r="V473" t="s">
        <v>5283</v>
      </c>
      <c r="W473" t="s">
        <v>5284</v>
      </c>
      <c r="X473" t="s">
        <v>5285</v>
      </c>
      <c r="Y473" t="s">
        <v>5286</v>
      </c>
      <c r="Z473" t="s">
        <v>5287</v>
      </c>
      <c r="AA473" t="s">
        <v>74</v>
      </c>
      <c r="AB473" t="s">
        <v>74</v>
      </c>
      <c r="AC473" t="s">
        <v>74</v>
      </c>
      <c r="AD473" t="s">
        <v>74</v>
      </c>
      <c r="AE473" t="s">
        <v>74</v>
      </c>
      <c r="AF473" t="s">
        <v>74</v>
      </c>
      <c r="AG473">
        <v>26</v>
      </c>
      <c r="AH473">
        <v>10</v>
      </c>
      <c r="AI473">
        <v>11</v>
      </c>
      <c r="AJ473">
        <v>0</v>
      </c>
      <c r="AK473">
        <v>10</v>
      </c>
      <c r="AL473" t="s">
        <v>3007</v>
      </c>
      <c r="AM473" t="s">
        <v>3008</v>
      </c>
      <c r="AN473" t="s">
        <v>3009</v>
      </c>
      <c r="AO473" t="s">
        <v>5272</v>
      </c>
      <c r="AP473" t="s">
        <v>74</v>
      </c>
      <c r="AQ473" t="s">
        <v>74</v>
      </c>
      <c r="AR473" t="s">
        <v>5273</v>
      </c>
      <c r="AS473" t="s">
        <v>5274</v>
      </c>
      <c r="AT473" t="s">
        <v>4117</v>
      </c>
      <c r="AU473">
        <v>2008</v>
      </c>
      <c r="AV473">
        <v>77</v>
      </c>
      <c r="AW473">
        <v>4</v>
      </c>
      <c r="AX473" t="s">
        <v>74</v>
      </c>
      <c r="AY473" t="s">
        <v>74</v>
      </c>
      <c r="AZ473" t="s">
        <v>74</v>
      </c>
      <c r="BA473" t="s">
        <v>74</v>
      </c>
      <c r="BB473">
        <v>276</v>
      </c>
      <c r="BC473">
        <v>284</v>
      </c>
      <c r="BD473" t="s">
        <v>74</v>
      </c>
      <c r="BE473" t="s">
        <v>5288</v>
      </c>
      <c r="BF473" t="str">
        <f>HYPERLINK("http://dx.doi.org/10.1016/j.pocean.2006.05.006","http://dx.doi.org/10.1016/j.pocean.2006.05.006")</f>
        <v>http://dx.doi.org/10.1016/j.pocean.2006.05.006</v>
      </c>
      <c r="BG473" t="s">
        <v>74</v>
      </c>
      <c r="BH473" t="s">
        <v>74</v>
      </c>
      <c r="BI473">
        <v>9</v>
      </c>
      <c r="BJ473" t="s">
        <v>3447</v>
      </c>
      <c r="BK473" t="s">
        <v>419</v>
      </c>
      <c r="BL473" t="s">
        <v>3447</v>
      </c>
      <c r="BM473" t="s">
        <v>5276</v>
      </c>
      <c r="BN473" t="s">
        <v>74</v>
      </c>
      <c r="BO473" t="s">
        <v>74</v>
      </c>
      <c r="BP473" t="s">
        <v>74</v>
      </c>
      <c r="BQ473" t="s">
        <v>74</v>
      </c>
      <c r="BR473" t="s">
        <v>101</v>
      </c>
      <c r="BS473" t="s">
        <v>5289</v>
      </c>
      <c r="BT473" t="str">
        <f>HYPERLINK("https%3A%2F%2Fwww.webofscience.com%2Fwos%2Fwoscc%2Ffull-record%2FWOS:000258021600003","View Full Record in Web of Science")</f>
        <v>View Full Record in Web of Science</v>
      </c>
    </row>
    <row r="474" spans="1:72" x14ac:dyDescent="0.15">
      <c r="A474" t="s">
        <v>72</v>
      </c>
      <c r="B474" t="s">
        <v>5290</v>
      </c>
      <c r="C474" t="s">
        <v>74</v>
      </c>
      <c r="D474" t="s">
        <v>74</v>
      </c>
      <c r="E474" t="s">
        <v>74</v>
      </c>
      <c r="F474" t="s">
        <v>5291</v>
      </c>
      <c r="G474" t="s">
        <v>74</v>
      </c>
      <c r="H474" t="s">
        <v>74</v>
      </c>
      <c r="I474" t="s">
        <v>5292</v>
      </c>
      <c r="J474" t="s">
        <v>5264</v>
      </c>
      <c r="K474" t="s">
        <v>74</v>
      </c>
      <c r="L474" t="s">
        <v>74</v>
      </c>
      <c r="M474" t="s">
        <v>78</v>
      </c>
      <c r="N474" t="s">
        <v>2958</v>
      </c>
      <c r="O474" t="s">
        <v>74</v>
      </c>
      <c r="P474" t="s">
        <v>74</v>
      </c>
      <c r="Q474" t="s">
        <v>74</v>
      </c>
      <c r="R474" t="s">
        <v>74</v>
      </c>
      <c r="S474" t="s">
        <v>74</v>
      </c>
      <c r="T474" t="s">
        <v>74</v>
      </c>
      <c r="U474" t="s">
        <v>5293</v>
      </c>
      <c r="V474" t="s">
        <v>5294</v>
      </c>
      <c r="W474" t="s">
        <v>5295</v>
      </c>
      <c r="X474" t="s">
        <v>5296</v>
      </c>
      <c r="Y474" t="s">
        <v>5297</v>
      </c>
      <c r="Z474" t="s">
        <v>5298</v>
      </c>
      <c r="AA474" t="s">
        <v>74</v>
      </c>
      <c r="AB474" t="s">
        <v>74</v>
      </c>
      <c r="AC474" t="s">
        <v>74</v>
      </c>
      <c r="AD474" t="s">
        <v>74</v>
      </c>
      <c r="AE474" t="s">
        <v>74</v>
      </c>
      <c r="AF474" t="s">
        <v>74</v>
      </c>
      <c r="AG474">
        <v>74</v>
      </c>
      <c r="AH474">
        <v>29</v>
      </c>
      <c r="AI474">
        <v>35</v>
      </c>
      <c r="AJ474">
        <v>1</v>
      </c>
      <c r="AK474">
        <v>13</v>
      </c>
      <c r="AL474" t="s">
        <v>3007</v>
      </c>
      <c r="AM474" t="s">
        <v>3008</v>
      </c>
      <c r="AN474" t="s">
        <v>3009</v>
      </c>
      <c r="AO474" t="s">
        <v>5272</v>
      </c>
      <c r="AP474" t="s">
        <v>74</v>
      </c>
      <c r="AQ474" t="s">
        <v>74</v>
      </c>
      <c r="AR474" t="s">
        <v>5273</v>
      </c>
      <c r="AS474" t="s">
        <v>5274</v>
      </c>
      <c r="AT474" t="s">
        <v>4117</v>
      </c>
      <c r="AU474">
        <v>2008</v>
      </c>
      <c r="AV474">
        <v>77</v>
      </c>
      <c r="AW474">
        <v>4</v>
      </c>
      <c r="AX474" t="s">
        <v>74</v>
      </c>
      <c r="AY474" t="s">
        <v>74</v>
      </c>
      <c r="AZ474" t="s">
        <v>74</v>
      </c>
      <c r="BA474" t="s">
        <v>74</v>
      </c>
      <c r="BB474">
        <v>316</v>
      </c>
      <c r="BC474">
        <v>330</v>
      </c>
      <c r="BD474" t="s">
        <v>74</v>
      </c>
      <c r="BE474" t="s">
        <v>5299</v>
      </c>
      <c r="BF474" t="str">
        <f>HYPERLINK("http://dx.doi.org/10.1016/j.pocean.2006.06.004","http://dx.doi.org/10.1016/j.pocean.2006.06.004")</f>
        <v>http://dx.doi.org/10.1016/j.pocean.2006.06.004</v>
      </c>
      <c r="BG474" t="s">
        <v>74</v>
      </c>
      <c r="BH474" t="s">
        <v>74</v>
      </c>
      <c r="BI474">
        <v>15</v>
      </c>
      <c r="BJ474" t="s">
        <v>3447</v>
      </c>
      <c r="BK474" t="s">
        <v>419</v>
      </c>
      <c r="BL474" t="s">
        <v>3447</v>
      </c>
      <c r="BM474" t="s">
        <v>5276</v>
      </c>
      <c r="BN474" t="s">
        <v>74</v>
      </c>
      <c r="BO474" t="s">
        <v>74</v>
      </c>
      <c r="BP474" t="s">
        <v>74</v>
      </c>
      <c r="BQ474" t="s">
        <v>74</v>
      </c>
      <c r="BR474" t="s">
        <v>101</v>
      </c>
      <c r="BS474" t="s">
        <v>5300</v>
      </c>
      <c r="BT474" t="str">
        <f>HYPERLINK("https%3A%2F%2Fwww.webofscience.com%2Fwos%2Fwoscc%2Ffull-record%2FWOS:000258021600006","View Full Record in Web of Science")</f>
        <v>View Full Record in Web of Science</v>
      </c>
    </row>
    <row r="475" spans="1:72" x14ac:dyDescent="0.15">
      <c r="A475" t="s">
        <v>72</v>
      </c>
      <c r="B475" t="s">
        <v>5301</v>
      </c>
      <c r="C475" t="s">
        <v>74</v>
      </c>
      <c r="D475" t="s">
        <v>74</v>
      </c>
      <c r="E475" t="s">
        <v>74</v>
      </c>
      <c r="F475" t="s">
        <v>5302</v>
      </c>
      <c r="G475" t="s">
        <v>74</v>
      </c>
      <c r="H475" t="s">
        <v>74</v>
      </c>
      <c r="I475" t="s">
        <v>5303</v>
      </c>
      <c r="J475" t="s">
        <v>5264</v>
      </c>
      <c r="K475" t="s">
        <v>74</v>
      </c>
      <c r="L475" t="s">
        <v>74</v>
      </c>
      <c r="M475" t="s">
        <v>78</v>
      </c>
      <c r="N475" t="s">
        <v>2958</v>
      </c>
      <c r="O475" t="s">
        <v>74</v>
      </c>
      <c r="P475" t="s">
        <v>74</v>
      </c>
      <c r="Q475" t="s">
        <v>74</v>
      </c>
      <c r="R475" t="s">
        <v>74</v>
      </c>
      <c r="S475" t="s">
        <v>74</v>
      </c>
      <c r="T475" t="s">
        <v>5304</v>
      </c>
      <c r="U475" t="s">
        <v>5305</v>
      </c>
      <c r="V475" t="s">
        <v>5306</v>
      </c>
      <c r="W475" t="s">
        <v>5307</v>
      </c>
      <c r="X475" t="s">
        <v>5308</v>
      </c>
      <c r="Y475" t="s">
        <v>5309</v>
      </c>
      <c r="Z475" t="s">
        <v>5310</v>
      </c>
      <c r="AA475" t="s">
        <v>3736</v>
      </c>
      <c r="AB475" t="s">
        <v>3737</v>
      </c>
      <c r="AC475" t="s">
        <v>74</v>
      </c>
      <c r="AD475" t="s">
        <v>74</v>
      </c>
      <c r="AE475" t="s">
        <v>74</v>
      </c>
      <c r="AF475" t="s">
        <v>74</v>
      </c>
      <c r="AG475">
        <v>38</v>
      </c>
      <c r="AH475">
        <v>39</v>
      </c>
      <c r="AI475">
        <v>42</v>
      </c>
      <c r="AJ475">
        <v>0</v>
      </c>
      <c r="AK475">
        <v>34</v>
      </c>
      <c r="AL475" t="s">
        <v>3007</v>
      </c>
      <c r="AM475" t="s">
        <v>3008</v>
      </c>
      <c r="AN475" t="s">
        <v>3009</v>
      </c>
      <c r="AO475" t="s">
        <v>5272</v>
      </c>
      <c r="AP475" t="s">
        <v>74</v>
      </c>
      <c r="AQ475" t="s">
        <v>74</v>
      </c>
      <c r="AR475" t="s">
        <v>5273</v>
      </c>
      <c r="AS475" t="s">
        <v>5274</v>
      </c>
      <c r="AT475" t="s">
        <v>4117</v>
      </c>
      <c r="AU475">
        <v>2008</v>
      </c>
      <c r="AV475">
        <v>77</v>
      </c>
      <c r="AW475">
        <v>4</v>
      </c>
      <c r="AX475" t="s">
        <v>74</v>
      </c>
      <c r="AY475" t="s">
        <v>74</v>
      </c>
      <c r="AZ475" t="s">
        <v>74</v>
      </c>
      <c r="BA475" t="s">
        <v>74</v>
      </c>
      <c r="BB475">
        <v>351</v>
      </c>
      <c r="BC475">
        <v>366</v>
      </c>
      <c r="BD475" t="s">
        <v>74</v>
      </c>
      <c r="BE475" t="s">
        <v>5311</v>
      </c>
      <c r="BF475" t="str">
        <f>HYPERLINK("http://dx.doi.org/10.1016/j.pocean.2007.03.002","http://dx.doi.org/10.1016/j.pocean.2007.03.002")</f>
        <v>http://dx.doi.org/10.1016/j.pocean.2007.03.002</v>
      </c>
      <c r="BG475" t="s">
        <v>74</v>
      </c>
      <c r="BH475" t="s">
        <v>74</v>
      </c>
      <c r="BI475">
        <v>16</v>
      </c>
      <c r="BJ475" t="s">
        <v>3447</v>
      </c>
      <c r="BK475" t="s">
        <v>419</v>
      </c>
      <c r="BL475" t="s">
        <v>3447</v>
      </c>
      <c r="BM475" t="s">
        <v>5276</v>
      </c>
      <c r="BN475" t="s">
        <v>74</v>
      </c>
      <c r="BO475" t="s">
        <v>74</v>
      </c>
      <c r="BP475" t="s">
        <v>74</v>
      </c>
      <c r="BQ475" t="s">
        <v>74</v>
      </c>
      <c r="BR475" t="s">
        <v>101</v>
      </c>
      <c r="BS475" t="s">
        <v>5312</v>
      </c>
      <c r="BT475" t="str">
        <f>HYPERLINK("https%3A%2F%2Fwww.webofscience.com%2Fwos%2Fwoscc%2Ffull-record%2FWOS:000258021600008","View Full Record in Web of Science")</f>
        <v>View Full Record in Web of Science</v>
      </c>
    </row>
    <row r="476" spans="1:72" x14ac:dyDescent="0.15">
      <c r="A476" t="s">
        <v>72</v>
      </c>
      <c r="B476" t="s">
        <v>5313</v>
      </c>
      <c r="C476" t="s">
        <v>74</v>
      </c>
      <c r="D476" t="s">
        <v>74</v>
      </c>
      <c r="E476" t="s">
        <v>74</v>
      </c>
      <c r="F476" t="s">
        <v>5314</v>
      </c>
      <c r="G476" t="s">
        <v>74</v>
      </c>
      <c r="H476" t="s">
        <v>74</v>
      </c>
      <c r="I476" t="s">
        <v>5315</v>
      </c>
      <c r="J476" t="s">
        <v>2998</v>
      </c>
      <c r="K476" t="s">
        <v>74</v>
      </c>
      <c r="L476" t="s">
        <v>74</v>
      </c>
      <c r="M476" t="s">
        <v>78</v>
      </c>
      <c r="N476" t="s">
        <v>2737</v>
      </c>
      <c r="O476" t="s">
        <v>74</v>
      </c>
      <c r="P476" t="s">
        <v>74</v>
      </c>
      <c r="Q476" t="s">
        <v>74</v>
      </c>
      <c r="R476" t="s">
        <v>74</v>
      </c>
      <c r="S476" t="s">
        <v>74</v>
      </c>
      <c r="T476" t="s">
        <v>74</v>
      </c>
      <c r="U476" t="s">
        <v>5316</v>
      </c>
      <c r="V476" t="s">
        <v>5317</v>
      </c>
      <c r="W476" t="s">
        <v>5318</v>
      </c>
      <c r="X476" t="s">
        <v>5319</v>
      </c>
      <c r="Y476" t="s">
        <v>5320</v>
      </c>
      <c r="Z476" t="s">
        <v>5321</v>
      </c>
      <c r="AA476" t="s">
        <v>74</v>
      </c>
      <c r="AB476" t="s">
        <v>74</v>
      </c>
      <c r="AC476" t="s">
        <v>74</v>
      </c>
      <c r="AD476" t="s">
        <v>74</v>
      </c>
      <c r="AE476" t="s">
        <v>74</v>
      </c>
      <c r="AF476" t="s">
        <v>74</v>
      </c>
      <c r="AG476">
        <v>71</v>
      </c>
      <c r="AH476">
        <v>49</v>
      </c>
      <c r="AI476">
        <v>56</v>
      </c>
      <c r="AJ476">
        <v>2</v>
      </c>
      <c r="AK476">
        <v>20</v>
      </c>
      <c r="AL476" t="s">
        <v>3007</v>
      </c>
      <c r="AM476" t="s">
        <v>3008</v>
      </c>
      <c r="AN476" t="s">
        <v>3009</v>
      </c>
      <c r="AO476" t="s">
        <v>3010</v>
      </c>
      <c r="AP476" t="s">
        <v>74</v>
      </c>
      <c r="AQ476" t="s">
        <v>74</v>
      </c>
      <c r="AR476" t="s">
        <v>3011</v>
      </c>
      <c r="AS476" t="s">
        <v>3012</v>
      </c>
      <c r="AT476" t="s">
        <v>4117</v>
      </c>
      <c r="AU476">
        <v>2008</v>
      </c>
      <c r="AV476">
        <v>27</v>
      </c>
      <c r="AW476" t="s">
        <v>5322</v>
      </c>
      <c r="AX476" t="s">
        <v>74</v>
      </c>
      <c r="AY476" t="s">
        <v>74</v>
      </c>
      <c r="AZ476" t="s">
        <v>74</v>
      </c>
      <c r="BA476" t="s">
        <v>74</v>
      </c>
      <c r="BB476">
        <v>1093</v>
      </c>
      <c r="BC476">
        <v>1106</v>
      </c>
      <c r="BD476" t="s">
        <v>74</v>
      </c>
      <c r="BE476" t="s">
        <v>5323</v>
      </c>
      <c r="BF476" t="str">
        <f>HYPERLINK("http://dx.doi.org/10.1016/j.quascirev.2008.02.017","http://dx.doi.org/10.1016/j.quascirev.2008.02.017")</f>
        <v>http://dx.doi.org/10.1016/j.quascirev.2008.02.017</v>
      </c>
      <c r="BG476" t="s">
        <v>74</v>
      </c>
      <c r="BH476" t="s">
        <v>74</v>
      </c>
      <c r="BI476">
        <v>14</v>
      </c>
      <c r="BJ476" t="s">
        <v>3015</v>
      </c>
      <c r="BK476" t="s">
        <v>419</v>
      </c>
      <c r="BL476" t="s">
        <v>3016</v>
      </c>
      <c r="BM476" t="s">
        <v>5324</v>
      </c>
      <c r="BN476" t="s">
        <v>74</v>
      </c>
      <c r="BO476" t="s">
        <v>74</v>
      </c>
      <c r="BP476" t="s">
        <v>74</v>
      </c>
      <c r="BQ476" t="s">
        <v>74</v>
      </c>
      <c r="BR476" t="s">
        <v>101</v>
      </c>
      <c r="BS476" t="s">
        <v>5325</v>
      </c>
      <c r="BT476" t="str">
        <f>HYPERLINK("https%3A%2F%2Fwww.webofscience.com%2Fwos%2Fwoscc%2Ffull-record%2FWOS:000257297800001","View Full Record in Web of Science")</f>
        <v>View Full Record in Web of Science</v>
      </c>
    </row>
    <row r="477" spans="1:72" x14ac:dyDescent="0.15">
      <c r="A477" t="s">
        <v>72</v>
      </c>
      <c r="B477" t="s">
        <v>5326</v>
      </c>
      <c r="C477" t="s">
        <v>74</v>
      </c>
      <c r="D477" t="s">
        <v>74</v>
      </c>
      <c r="E477" t="s">
        <v>74</v>
      </c>
      <c r="F477" t="s">
        <v>5327</v>
      </c>
      <c r="G477" t="s">
        <v>74</v>
      </c>
      <c r="H477" t="s">
        <v>74</v>
      </c>
      <c r="I477" t="s">
        <v>5328</v>
      </c>
      <c r="J477" t="s">
        <v>5329</v>
      </c>
      <c r="K477" t="s">
        <v>74</v>
      </c>
      <c r="L477" t="s">
        <v>74</v>
      </c>
      <c r="M477" t="s">
        <v>78</v>
      </c>
      <c r="N477" t="s">
        <v>2737</v>
      </c>
      <c r="O477" t="s">
        <v>74</v>
      </c>
      <c r="P477" t="s">
        <v>74</v>
      </c>
      <c r="Q477" t="s">
        <v>74</v>
      </c>
      <c r="R477" t="s">
        <v>74</v>
      </c>
      <c r="S477" t="s">
        <v>74</v>
      </c>
      <c r="T477" t="s">
        <v>5330</v>
      </c>
      <c r="U477" t="s">
        <v>74</v>
      </c>
      <c r="V477" t="s">
        <v>5331</v>
      </c>
      <c r="W477" t="s">
        <v>5332</v>
      </c>
      <c r="X477" t="s">
        <v>5333</v>
      </c>
      <c r="Y477" t="s">
        <v>5334</v>
      </c>
      <c r="Z477" t="s">
        <v>5335</v>
      </c>
      <c r="AA477" t="s">
        <v>5336</v>
      </c>
      <c r="AB477" t="s">
        <v>5337</v>
      </c>
      <c r="AC477" t="s">
        <v>5338</v>
      </c>
      <c r="AD477" t="s">
        <v>5339</v>
      </c>
      <c r="AE477" t="s">
        <v>5340</v>
      </c>
      <c r="AF477" t="s">
        <v>74</v>
      </c>
      <c r="AG477">
        <v>21</v>
      </c>
      <c r="AH477">
        <v>3</v>
      </c>
      <c r="AI477">
        <v>4</v>
      </c>
      <c r="AJ477">
        <v>4</v>
      </c>
      <c r="AK477">
        <v>14</v>
      </c>
      <c r="AL477" t="s">
        <v>5341</v>
      </c>
      <c r="AM477" t="s">
        <v>5342</v>
      </c>
      <c r="AN477" t="s">
        <v>5343</v>
      </c>
      <c r="AO477" t="s">
        <v>5344</v>
      </c>
      <c r="AP477" t="s">
        <v>74</v>
      </c>
      <c r="AQ477" t="s">
        <v>74</v>
      </c>
      <c r="AR477" t="s">
        <v>5345</v>
      </c>
      <c r="AS477" t="s">
        <v>5346</v>
      </c>
      <c r="AT477" t="s">
        <v>4117</v>
      </c>
      <c r="AU477">
        <v>2008</v>
      </c>
      <c r="AV477">
        <v>16</v>
      </c>
      <c r="AW477">
        <v>2</v>
      </c>
      <c r="AX477" t="s">
        <v>74</v>
      </c>
      <c r="AY477" t="s">
        <v>74</v>
      </c>
      <c r="AZ477" t="s">
        <v>74</v>
      </c>
      <c r="BA477" t="s">
        <v>74</v>
      </c>
      <c r="BB477">
        <v>137</v>
      </c>
      <c r="BC477">
        <v>141</v>
      </c>
      <c r="BD477" t="s">
        <v>74</v>
      </c>
      <c r="BE477" t="s">
        <v>74</v>
      </c>
      <c r="BF477" t="s">
        <v>74</v>
      </c>
      <c r="BG477" t="s">
        <v>74</v>
      </c>
      <c r="BH477" t="s">
        <v>74</v>
      </c>
      <c r="BI477">
        <v>5</v>
      </c>
      <c r="BJ477" t="s">
        <v>5347</v>
      </c>
      <c r="BK477" t="s">
        <v>419</v>
      </c>
      <c r="BL477" t="s">
        <v>3203</v>
      </c>
      <c r="BM477" t="s">
        <v>5348</v>
      </c>
      <c r="BN477" t="s">
        <v>74</v>
      </c>
      <c r="BO477" t="s">
        <v>74</v>
      </c>
      <c r="BP477" t="s">
        <v>74</v>
      </c>
      <c r="BQ477" t="s">
        <v>74</v>
      </c>
      <c r="BR477" t="s">
        <v>101</v>
      </c>
      <c r="BS477" t="s">
        <v>5349</v>
      </c>
      <c r="BT477" t="str">
        <f>HYPERLINK("https%3A%2F%2Fwww.webofscience.com%2Fwos%2Fwoscc%2Ffull-record%2FWOS:000208353500004","View Full Record in Web of Science")</f>
        <v>View Full Record in Web of Science</v>
      </c>
    </row>
    <row r="478" spans="1:72" x14ac:dyDescent="0.15">
      <c r="A478" t="s">
        <v>72</v>
      </c>
      <c r="B478" t="s">
        <v>5350</v>
      </c>
      <c r="C478" t="s">
        <v>74</v>
      </c>
      <c r="D478" t="s">
        <v>74</v>
      </c>
      <c r="E478" t="s">
        <v>74</v>
      </c>
      <c r="F478" t="s">
        <v>5351</v>
      </c>
      <c r="G478" t="s">
        <v>74</v>
      </c>
      <c r="H478" t="s">
        <v>74</v>
      </c>
      <c r="I478" t="s">
        <v>5352</v>
      </c>
      <c r="J478" t="s">
        <v>5353</v>
      </c>
      <c r="K478" t="s">
        <v>74</v>
      </c>
      <c r="L478" t="s">
        <v>74</v>
      </c>
      <c r="M478" t="s">
        <v>78</v>
      </c>
      <c r="N478" t="s">
        <v>2737</v>
      </c>
      <c r="O478" t="s">
        <v>74</v>
      </c>
      <c r="P478" t="s">
        <v>74</v>
      </c>
      <c r="Q478" t="s">
        <v>74</v>
      </c>
      <c r="R478" t="s">
        <v>74</v>
      </c>
      <c r="S478" t="s">
        <v>74</v>
      </c>
      <c r="T478" t="s">
        <v>5354</v>
      </c>
      <c r="U478" t="s">
        <v>5355</v>
      </c>
      <c r="V478" t="s">
        <v>5356</v>
      </c>
      <c r="W478" t="s">
        <v>5357</v>
      </c>
      <c r="X478" t="s">
        <v>5358</v>
      </c>
      <c r="Y478" t="s">
        <v>5359</v>
      </c>
      <c r="Z478" t="s">
        <v>5360</v>
      </c>
      <c r="AA478" t="s">
        <v>5361</v>
      </c>
      <c r="AB478" t="s">
        <v>5362</v>
      </c>
      <c r="AC478" t="s">
        <v>74</v>
      </c>
      <c r="AD478" t="s">
        <v>74</v>
      </c>
      <c r="AE478" t="s">
        <v>74</v>
      </c>
      <c r="AF478" t="s">
        <v>74</v>
      </c>
      <c r="AG478">
        <v>42</v>
      </c>
      <c r="AH478">
        <v>4</v>
      </c>
      <c r="AI478">
        <v>4</v>
      </c>
      <c r="AJ478">
        <v>0</v>
      </c>
      <c r="AK478">
        <v>10</v>
      </c>
      <c r="AL478" t="s">
        <v>5363</v>
      </c>
      <c r="AM478" t="s">
        <v>5364</v>
      </c>
      <c r="AN478" t="s">
        <v>5365</v>
      </c>
      <c r="AO478" t="s">
        <v>5366</v>
      </c>
      <c r="AP478" t="s">
        <v>74</v>
      </c>
      <c r="AQ478" t="s">
        <v>74</v>
      </c>
      <c r="AR478" t="s">
        <v>5367</v>
      </c>
      <c r="AS478" t="s">
        <v>5368</v>
      </c>
      <c r="AT478" t="s">
        <v>4117</v>
      </c>
      <c r="AU478">
        <v>2008</v>
      </c>
      <c r="AV478">
        <v>25</v>
      </c>
      <c r="AW478">
        <v>2</v>
      </c>
      <c r="AX478" t="s">
        <v>74</v>
      </c>
      <c r="AY478" t="s">
        <v>74</v>
      </c>
      <c r="AZ478" t="s">
        <v>74</v>
      </c>
      <c r="BA478" t="s">
        <v>74</v>
      </c>
      <c r="BB478">
        <v>254</v>
      </c>
      <c r="BC478">
        <v>262</v>
      </c>
      <c r="BD478" t="s">
        <v>74</v>
      </c>
      <c r="BE478" t="s">
        <v>5369</v>
      </c>
      <c r="BF478" t="str">
        <f>HYPERLINK("http://dx.doi.org/10.1590/S0101-81752008000200014","http://dx.doi.org/10.1590/S0101-81752008000200014")</f>
        <v>http://dx.doi.org/10.1590/S0101-81752008000200014</v>
      </c>
      <c r="BG478" t="s">
        <v>74</v>
      </c>
      <c r="BH478" t="s">
        <v>74</v>
      </c>
      <c r="BI478">
        <v>9</v>
      </c>
      <c r="BJ478" t="s">
        <v>3203</v>
      </c>
      <c r="BK478" t="s">
        <v>419</v>
      </c>
      <c r="BL478" t="s">
        <v>3203</v>
      </c>
      <c r="BM478" t="s">
        <v>5370</v>
      </c>
      <c r="BN478" t="s">
        <v>74</v>
      </c>
      <c r="BO478" t="s">
        <v>5371</v>
      </c>
      <c r="BP478" t="s">
        <v>74</v>
      </c>
      <c r="BQ478" t="s">
        <v>74</v>
      </c>
      <c r="BR478" t="s">
        <v>101</v>
      </c>
      <c r="BS478" t="s">
        <v>5372</v>
      </c>
      <c r="BT478" t="str">
        <f>HYPERLINK("https%3A%2F%2Fwww.webofscience.com%2Fwos%2Fwoscc%2Ffull-record%2FWOS:000257479500014","View Full Record in Web of Science")</f>
        <v>View Full Record in Web of Science</v>
      </c>
    </row>
    <row r="479" spans="1:72" x14ac:dyDescent="0.15">
      <c r="A479" t="s">
        <v>72</v>
      </c>
      <c r="B479" t="s">
        <v>5373</v>
      </c>
      <c r="C479" t="s">
        <v>74</v>
      </c>
      <c r="D479" t="s">
        <v>74</v>
      </c>
      <c r="E479" t="s">
        <v>74</v>
      </c>
      <c r="F479" t="s">
        <v>5374</v>
      </c>
      <c r="G479" t="s">
        <v>74</v>
      </c>
      <c r="H479" t="s">
        <v>74</v>
      </c>
      <c r="I479" t="s">
        <v>5375</v>
      </c>
      <c r="J479" t="s">
        <v>3077</v>
      </c>
      <c r="K479" t="s">
        <v>74</v>
      </c>
      <c r="L479" t="s">
        <v>74</v>
      </c>
      <c r="M479" t="s">
        <v>78</v>
      </c>
      <c r="N479" t="s">
        <v>2737</v>
      </c>
      <c r="O479" t="s">
        <v>74</v>
      </c>
      <c r="P479" t="s">
        <v>74</v>
      </c>
      <c r="Q479" t="s">
        <v>74</v>
      </c>
      <c r="R479" t="s">
        <v>74</v>
      </c>
      <c r="S479" t="s">
        <v>74</v>
      </c>
      <c r="T479" t="s">
        <v>5376</v>
      </c>
      <c r="U479" t="s">
        <v>5377</v>
      </c>
      <c r="V479" t="s">
        <v>5378</v>
      </c>
      <c r="W479" t="s">
        <v>5379</v>
      </c>
      <c r="X479" t="s">
        <v>5380</v>
      </c>
      <c r="Y479" t="s">
        <v>5381</v>
      </c>
      <c r="Z479" t="s">
        <v>5382</v>
      </c>
      <c r="AA479" t="s">
        <v>74</v>
      </c>
      <c r="AB479" t="s">
        <v>74</v>
      </c>
      <c r="AC479" t="s">
        <v>74</v>
      </c>
      <c r="AD479" t="s">
        <v>74</v>
      </c>
      <c r="AE479" t="s">
        <v>74</v>
      </c>
      <c r="AF479" t="s">
        <v>74</v>
      </c>
      <c r="AG479">
        <v>40</v>
      </c>
      <c r="AH479">
        <v>3</v>
      </c>
      <c r="AI479">
        <v>4</v>
      </c>
      <c r="AJ479">
        <v>3</v>
      </c>
      <c r="AK479">
        <v>26</v>
      </c>
      <c r="AL479" t="s">
        <v>3086</v>
      </c>
      <c r="AM479" t="s">
        <v>3087</v>
      </c>
      <c r="AN479" t="s">
        <v>3088</v>
      </c>
      <c r="AO479" t="s">
        <v>3089</v>
      </c>
      <c r="AP479" t="s">
        <v>74</v>
      </c>
      <c r="AQ479" t="s">
        <v>74</v>
      </c>
      <c r="AR479" t="s">
        <v>3090</v>
      </c>
      <c r="AS479" t="s">
        <v>3091</v>
      </c>
      <c r="AT479" t="s">
        <v>4117</v>
      </c>
      <c r="AU479">
        <v>2008</v>
      </c>
      <c r="AV479">
        <v>51</v>
      </c>
      <c r="AW479">
        <v>6</v>
      </c>
      <c r="AX479" t="s">
        <v>74</v>
      </c>
      <c r="AY479" t="s">
        <v>74</v>
      </c>
      <c r="AZ479" t="s">
        <v>74</v>
      </c>
      <c r="BA479" t="s">
        <v>74</v>
      </c>
      <c r="BB479">
        <v>899</v>
      </c>
      <c r="BC479">
        <v>910</v>
      </c>
      <c r="BD479" t="s">
        <v>74</v>
      </c>
      <c r="BE479" t="s">
        <v>5383</v>
      </c>
      <c r="BF479" t="str">
        <f>HYPERLINK("http://dx.doi.org/10.1007/s11430-008-0061-0","http://dx.doi.org/10.1007/s11430-008-0061-0")</f>
        <v>http://dx.doi.org/10.1007/s11430-008-0061-0</v>
      </c>
      <c r="BG479" t="s">
        <v>74</v>
      </c>
      <c r="BH479" t="s">
        <v>74</v>
      </c>
      <c r="BI479">
        <v>12</v>
      </c>
      <c r="BJ479" t="s">
        <v>3093</v>
      </c>
      <c r="BK479" t="s">
        <v>419</v>
      </c>
      <c r="BL479" t="s">
        <v>3094</v>
      </c>
      <c r="BM479" t="s">
        <v>5384</v>
      </c>
      <c r="BN479" t="s">
        <v>74</v>
      </c>
      <c r="BO479" t="s">
        <v>74</v>
      </c>
      <c r="BP479" t="s">
        <v>74</v>
      </c>
      <c r="BQ479" t="s">
        <v>74</v>
      </c>
      <c r="BR479" t="s">
        <v>101</v>
      </c>
      <c r="BS479" t="s">
        <v>5385</v>
      </c>
      <c r="BT479" t="str">
        <f>HYPERLINK("https%3A%2F%2Fwww.webofscience.com%2Fwos%2Fwoscc%2Ffull-record%2FWOS:000256030500013","View Full Record in Web of Science")</f>
        <v>View Full Record in Web of Science</v>
      </c>
    </row>
    <row r="480" spans="1:72" x14ac:dyDescent="0.15">
      <c r="A480" t="s">
        <v>72</v>
      </c>
      <c r="B480" t="s">
        <v>5386</v>
      </c>
      <c r="C480" t="s">
        <v>74</v>
      </c>
      <c r="D480" t="s">
        <v>74</v>
      </c>
      <c r="E480" t="s">
        <v>74</v>
      </c>
      <c r="F480" t="s">
        <v>5387</v>
      </c>
      <c r="G480" t="s">
        <v>74</v>
      </c>
      <c r="H480" t="s">
        <v>74</v>
      </c>
      <c r="I480" t="s">
        <v>5388</v>
      </c>
      <c r="J480" t="s">
        <v>5389</v>
      </c>
      <c r="K480" t="s">
        <v>74</v>
      </c>
      <c r="L480" t="s">
        <v>74</v>
      </c>
      <c r="M480" t="s">
        <v>5390</v>
      </c>
      <c r="N480" t="s">
        <v>2989</v>
      </c>
      <c r="O480" t="s">
        <v>74</v>
      </c>
      <c r="P480" t="s">
        <v>74</v>
      </c>
      <c r="Q480" t="s">
        <v>74</v>
      </c>
      <c r="R480" t="s">
        <v>74</v>
      </c>
      <c r="S480" t="s">
        <v>74</v>
      </c>
      <c r="T480" t="s">
        <v>74</v>
      </c>
      <c r="U480" t="s">
        <v>74</v>
      </c>
      <c r="V480" t="s">
        <v>74</v>
      </c>
      <c r="W480" t="s">
        <v>74</v>
      </c>
      <c r="X480" t="s">
        <v>74</v>
      </c>
      <c r="Y480" t="s">
        <v>74</v>
      </c>
      <c r="Z480" t="s">
        <v>5391</v>
      </c>
      <c r="AA480" t="s">
        <v>74</v>
      </c>
      <c r="AB480" t="s">
        <v>74</v>
      </c>
      <c r="AC480" t="s">
        <v>74</v>
      </c>
      <c r="AD480" t="s">
        <v>74</v>
      </c>
      <c r="AE480" t="s">
        <v>74</v>
      </c>
      <c r="AF480" t="s">
        <v>74</v>
      </c>
      <c r="AG480">
        <v>0</v>
      </c>
      <c r="AH480">
        <v>0</v>
      </c>
      <c r="AI480">
        <v>0</v>
      </c>
      <c r="AJ480">
        <v>0</v>
      </c>
      <c r="AK480">
        <v>0</v>
      </c>
      <c r="AL480" t="s">
        <v>5392</v>
      </c>
      <c r="AM480" t="s">
        <v>5393</v>
      </c>
      <c r="AN480" t="s">
        <v>5394</v>
      </c>
      <c r="AO480" t="s">
        <v>5395</v>
      </c>
      <c r="AP480" t="s">
        <v>74</v>
      </c>
      <c r="AQ480" t="s">
        <v>74</v>
      </c>
      <c r="AR480" t="s">
        <v>5389</v>
      </c>
      <c r="AS480" t="s">
        <v>5396</v>
      </c>
      <c r="AT480" t="s">
        <v>4117</v>
      </c>
      <c r="AU480">
        <v>2008</v>
      </c>
      <c r="AV480">
        <v>64</v>
      </c>
      <c r="AW480">
        <v>6</v>
      </c>
      <c r="AX480" t="s">
        <v>74</v>
      </c>
      <c r="AY480" t="s">
        <v>74</v>
      </c>
      <c r="AZ480" t="s">
        <v>74</v>
      </c>
      <c r="BA480" t="s">
        <v>74</v>
      </c>
      <c r="BB480" t="s">
        <v>5397</v>
      </c>
      <c r="BC480" t="s">
        <v>5398</v>
      </c>
      <c r="BD480" t="s">
        <v>74</v>
      </c>
      <c r="BE480" t="s">
        <v>74</v>
      </c>
      <c r="BF480" t="s">
        <v>74</v>
      </c>
      <c r="BG480" t="s">
        <v>74</v>
      </c>
      <c r="BH480" t="s">
        <v>74</v>
      </c>
      <c r="BI480">
        <v>5</v>
      </c>
      <c r="BJ480" t="s">
        <v>5399</v>
      </c>
      <c r="BK480" t="s">
        <v>419</v>
      </c>
      <c r="BL480" t="s">
        <v>5400</v>
      </c>
      <c r="BM480" t="s">
        <v>5401</v>
      </c>
      <c r="BN480" t="s">
        <v>74</v>
      </c>
      <c r="BO480" t="s">
        <v>74</v>
      </c>
      <c r="BP480" t="s">
        <v>74</v>
      </c>
      <c r="BQ480" t="s">
        <v>74</v>
      </c>
      <c r="BR480" t="s">
        <v>101</v>
      </c>
      <c r="BS480" t="s">
        <v>5402</v>
      </c>
      <c r="BT480" t="str">
        <f>HYPERLINK("https%3A%2F%2Fwww.webofscience.com%2Fwos%2Fwoscc%2Ffull-record%2FWOS:000258942400004","View Full Record in Web of Science")</f>
        <v>View Full Record in Web of Science</v>
      </c>
    </row>
    <row r="481" spans="1:72" x14ac:dyDescent="0.15">
      <c r="A481" t="s">
        <v>72</v>
      </c>
      <c r="B481" t="s">
        <v>5403</v>
      </c>
      <c r="C481" t="s">
        <v>74</v>
      </c>
      <c r="D481" t="s">
        <v>74</v>
      </c>
      <c r="E481" t="s">
        <v>74</v>
      </c>
      <c r="F481" t="s">
        <v>5404</v>
      </c>
      <c r="G481" t="s">
        <v>74</v>
      </c>
      <c r="H481" t="s">
        <v>74</v>
      </c>
      <c r="I481" t="s">
        <v>5405</v>
      </c>
      <c r="J481" t="s">
        <v>5406</v>
      </c>
      <c r="K481" t="s">
        <v>74</v>
      </c>
      <c r="L481" t="s">
        <v>74</v>
      </c>
      <c r="M481" t="s">
        <v>5407</v>
      </c>
      <c r="N481" t="s">
        <v>2737</v>
      </c>
      <c r="O481" t="s">
        <v>74</v>
      </c>
      <c r="P481" t="s">
        <v>74</v>
      </c>
      <c r="Q481" t="s">
        <v>74</v>
      </c>
      <c r="R481" t="s">
        <v>74</v>
      </c>
      <c r="S481" t="s">
        <v>74</v>
      </c>
      <c r="T481" t="s">
        <v>74</v>
      </c>
      <c r="U481" t="s">
        <v>5408</v>
      </c>
      <c r="V481" t="s">
        <v>5409</v>
      </c>
      <c r="W481" t="s">
        <v>5410</v>
      </c>
      <c r="X481" t="s">
        <v>5411</v>
      </c>
      <c r="Y481" t="s">
        <v>5412</v>
      </c>
      <c r="Z481" t="s">
        <v>74</v>
      </c>
      <c r="AA481" t="s">
        <v>5413</v>
      </c>
      <c r="AB481" t="s">
        <v>5414</v>
      </c>
      <c r="AC481" t="s">
        <v>74</v>
      </c>
      <c r="AD481" t="s">
        <v>74</v>
      </c>
      <c r="AE481" t="s">
        <v>74</v>
      </c>
      <c r="AF481" t="s">
        <v>74</v>
      </c>
      <c r="AG481">
        <v>27</v>
      </c>
      <c r="AH481">
        <v>3</v>
      </c>
      <c r="AI481">
        <v>4</v>
      </c>
      <c r="AJ481">
        <v>0</v>
      </c>
      <c r="AK481">
        <v>8</v>
      </c>
      <c r="AL481" t="s">
        <v>5415</v>
      </c>
      <c r="AM481" t="s">
        <v>5416</v>
      </c>
      <c r="AN481" t="s">
        <v>5417</v>
      </c>
      <c r="AO481" t="s">
        <v>5418</v>
      </c>
      <c r="AP481" t="s">
        <v>74</v>
      </c>
      <c r="AQ481" t="s">
        <v>74</v>
      </c>
      <c r="AR481" t="s">
        <v>5419</v>
      </c>
      <c r="AS481" t="s">
        <v>5420</v>
      </c>
      <c r="AT481" t="s">
        <v>4117</v>
      </c>
      <c r="AU481">
        <v>2008</v>
      </c>
      <c r="AV481">
        <v>87</v>
      </c>
      <c r="AW481">
        <v>7</v>
      </c>
      <c r="AX481" t="s">
        <v>74</v>
      </c>
      <c r="AY481" t="s">
        <v>74</v>
      </c>
      <c r="AZ481" t="s">
        <v>74</v>
      </c>
      <c r="BA481" t="s">
        <v>74</v>
      </c>
      <c r="BB481">
        <v>876</v>
      </c>
      <c r="BC481">
        <v>884</v>
      </c>
      <c r="BD481" t="s">
        <v>74</v>
      </c>
      <c r="BE481" t="s">
        <v>74</v>
      </c>
      <c r="BF481" t="s">
        <v>74</v>
      </c>
      <c r="BG481" t="s">
        <v>74</v>
      </c>
      <c r="BH481" t="s">
        <v>74</v>
      </c>
      <c r="BI481">
        <v>9</v>
      </c>
      <c r="BJ481" t="s">
        <v>3203</v>
      </c>
      <c r="BK481" t="s">
        <v>419</v>
      </c>
      <c r="BL481" t="s">
        <v>3203</v>
      </c>
      <c r="BM481" t="s">
        <v>5421</v>
      </c>
      <c r="BN481" t="s">
        <v>74</v>
      </c>
      <c r="BO481" t="s">
        <v>74</v>
      </c>
      <c r="BP481" t="s">
        <v>74</v>
      </c>
      <c r="BQ481" t="s">
        <v>74</v>
      </c>
      <c r="BR481" t="s">
        <v>101</v>
      </c>
      <c r="BS481" t="s">
        <v>5422</v>
      </c>
      <c r="BT481" t="str">
        <f>HYPERLINK("https%3A%2F%2Fwww.webofscience.com%2Fwos%2Fwoscc%2Ffull-record%2FWOS:000258613800011","View Full Record in Web of Science")</f>
        <v>View Full Record in Web of Science</v>
      </c>
    </row>
    <row r="482" spans="1:72" x14ac:dyDescent="0.15">
      <c r="A482" t="s">
        <v>72</v>
      </c>
      <c r="B482" t="s">
        <v>5423</v>
      </c>
      <c r="C482" t="s">
        <v>74</v>
      </c>
      <c r="D482" t="s">
        <v>74</v>
      </c>
      <c r="E482" t="s">
        <v>74</v>
      </c>
      <c r="F482" t="s">
        <v>5424</v>
      </c>
      <c r="G482" t="s">
        <v>74</v>
      </c>
      <c r="H482" t="s">
        <v>74</v>
      </c>
      <c r="I482" t="s">
        <v>5425</v>
      </c>
      <c r="J482" t="s">
        <v>3248</v>
      </c>
      <c r="K482" t="s">
        <v>74</v>
      </c>
      <c r="L482" t="s">
        <v>74</v>
      </c>
      <c r="M482" t="s">
        <v>78</v>
      </c>
      <c r="N482" t="s">
        <v>2737</v>
      </c>
      <c r="O482" t="s">
        <v>74</v>
      </c>
      <c r="P482" t="s">
        <v>74</v>
      </c>
      <c r="Q482" t="s">
        <v>74</v>
      </c>
      <c r="R482" t="s">
        <v>74</v>
      </c>
      <c r="S482" t="s">
        <v>74</v>
      </c>
      <c r="T482" t="s">
        <v>5426</v>
      </c>
      <c r="U482" t="s">
        <v>5427</v>
      </c>
      <c r="V482" t="s">
        <v>5428</v>
      </c>
      <c r="W482" t="s">
        <v>5429</v>
      </c>
      <c r="X482" t="s">
        <v>5430</v>
      </c>
      <c r="Y482" t="s">
        <v>5431</v>
      </c>
      <c r="Z482" t="s">
        <v>5432</v>
      </c>
      <c r="AA482" t="s">
        <v>5433</v>
      </c>
      <c r="AB482" t="s">
        <v>5434</v>
      </c>
      <c r="AC482" t="s">
        <v>74</v>
      </c>
      <c r="AD482" t="s">
        <v>74</v>
      </c>
      <c r="AE482" t="s">
        <v>74</v>
      </c>
      <c r="AF482" t="s">
        <v>74</v>
      </c>
      <c r="AG482">
        <v>39</v>
      </c>
      <c r="AH482">
        <v>18</v>
      </c>
      <c r="AI482">
        <v>19</v>
      </c>
      <c r="AJ482">
        <v>0</v>
      </c>
      <c r="AK482">
        <v>7</v>
      </c>
      <c r="AL482" t="s">
        <v>3933</v>
      </c>
      <c r="AM482" t="s">
        <v>3258</v>
      </c>
      <c r="AN482" t="s">
        <v>3934</v>
      </c>
      <c r="AO482" t="s">
        <v>3260</v>
      </c>
      <c r="AP482" t="s">
        <v>5435</v>
      </c>
      <c r="AQ482" t="s">
        <v>74</v>
      </c>
      <c r="AR482" t="s">
        <v>3261</v>
      </c>
      <c r="AS482" t="s">
        <v>3262</v>
      </c>
      <c r="AT482" t="s">
        <v>5436</v>
      </c>
      <c r="AU482">
        <v>2008</v>
      </c>
      <c r="AV482">
        <v>269</v>
      </c>
      <c r="AW482" t="s">
        <v>3263</v>
      </c>
      <c r="AX482" t="s">
        <v>74</v>
      </c>
      <c r="AY482" t="s">
        <v>74</v>
      </c>
      <c r="AZ482" t="s">
        <v>74</v>
      </c>
      <c r="BA482" t="s">
        <v>74</v>
      </c>
      <c r="BB482">
        <v>595</v>
      </c>
      <c r="BC482">
        <v>603</v>
      </c>
      <c r="BD482" t="s">
        <v>74</v>
      </c>
      <c r="BE482" t="s">
        <v>5437</v>
      </c>
      <c r="BF482" t="str">
        <f>HYPERLINK("http://dx.doi.org/10.1016/j.epsl.2008.03.020","http://dx.doi.org/10.1016/j.epsl.2008.03.020")</f>
        <v>http://dx.doi.org/10.1016/j.epsl.2008.03.020</v>
      </c>
      <c r="BG482" t="s">
        <v>74</v>
      </c>
      <c r="BH482" t="s">
        <v>74</v>
      </c>
      <c r="BI482">
        <v>9</v>
      </c>
      <c r="BJ482" t="s">
        <v>98</v>
      </c>
      <c r="BK482" t="s">
        <v>419</v>
      </c>
      <c r="BL482" t="s">
        <v>98</v>
      </c>
      <c r="BM482" t="s">
        <v>5438</v>
      </c>
      <c r="BN482" t="s">
        <v>74</v>
      </c>
      <c r="BO482" t="s">
        <v>74</v>
      </c>
      <c r="BP482" t="s">
        <v>74</v>
      </c>
      <c r="BQ482" t="s">
        <v>74</v>
      </c>
      <c r="BR482" t="s">
        <v>101</v>
      </c>
      <c r="BS482" t="s">
        <v>5439</v>
      </c>
      <c r="BT482" t="str">
        <f>HYPERLINK("https%3A%2F%2Fwww.webofscience.com%2Fwos%2Fwoscc%2Ffull-record%2FWOS:000256709400029","View Full Record in Web of Science")</f>
        <v>View Full Record in Web of Science</v>
      </c>
    </row>
    <row r="483" spans="1:72" x14ac:dyDescent="0.15">
      <c r="A483" t="s">
        <v>72</v>
      </c>
      <c r="B483" t="s">
        <v>5440</v>
      </c>
      <c r="C483" t="s">
        <v>74</v>
      </c>
      <c r="D483" t="s">
        <v>74</v>
      </c>
      <c r="E483" t="s">
        <v>74</v>
      </c>
      <c r="F483" t="s">
        <v>5441</v>
      </c>
      <c r="G483" t="s">
        <v>74</v>
      </c>
      <c r="H483" t="s">
        <v>74</v>
      </c>
      <c r="I483" t="s">
        <v>5442</v>
      </c>
      <c r="J483" t="s">
        <v>5443</v>
      </c>
      <c r="K483" t="s">
        <v>74</v>
      </c>
      <c r="L483" t="s">
        <v>74</v>
      </c>
      <c r="M483" t="s">
        <v>78</v>
      </c>
      <c r="N483" t="s">
        <v>2737</v>
      </c>
      <c r="O483" t="s">
        <v>74</v>
      </c>
      <c r="P483" t="s">
        <v>74</v>
      </c>
      <c r="Q483" t="s">
        <v>74</v>
      </c>
      <c r="R483" t="s">
        <v>74</v>
      </c>
      <c r="S483" t="s">
        <v>74</v>
      </c>
      <c r="T483" t="s">
        <v>74</v>
      </c>
      <c r="U483" t="s">
        <v>5444</v>
      </c>
      <c r="V483" t="s">
        <v>5445</v>
      </c>
      <c r="W483" t="s">
        <v>5446</v>
      </c>
      <c r="X483" t="s">
        <v>5447</v>
      </c>
      <c r="Y483" t="s">
        <v>5448</v>
      </c>
      <c r="Z483" t="s">
        <v>5449</v>
      </c>
      <c r="AA483" t="s">
        <v>5450</v>
      </c>
      <c r="AB483" t="s">
        <v>5451</v>
      </c>
      <c r="AC483" t="s">
        <v>74</v>
      </c>
      <c r="AD483" t="s">
        <v>74</v>
      </c>
      <c r="AE483" t="s">
        <v>74</v>
      </c>
      <c r="AF483" t="s">
        <v>74</v>
      </c>
      <c r="AG483">
        <v>59</v>
      </c>
      <c r="AH483">
        <v>200</v>
      </c>
      <c r="AI483">
        <v>225</v>
      </c>
      <c r="AJ483">
        <v>4</v>
      </c>
      <c r="AK483">
        <v>77</v>
      </c>
      <c r="AL483" t="s">
        <v>5452</v>
      </c>
      <c r="AM483" t="s">
        <v>3550</v>
      </c>
      <c r="AN483" t="s">
        <v>5453</v>
      </c>
      <c r="AO483" t="s">
        <v>5454</v>
      </c>
      <c r="AP483" t="s">
        <v>74</v>
      </c>
      <c r="AQ483" t="s">
        <v>74</v>
      </c>
      <c r="AR483" t="s">
        <v>5455</v>
      </c>
      <c r="AS483" t="s">
        <v>5456</v>
      </c>
      <c r="AT483" t="s">
        <v>5436</v>
      </c>
      <c r="AU483">
        <v>2008</v>
      </c>
      <c r="AV483">
        <v>9</v>
      </c>
      <c r="AW483" t="s">
        <v>74</v>
      </c>
      <c r="AX483" t="s">
        <v>74</v>
      </c>
      <c r="AY483" t="s">
        <v>74</v>
      </c>
      <c r="AZ483" t="s">
        <v>74</v>
      </c>
      <c r="BA483" t="s">
        <v>74</v>
      </c>
      <c r="BB483" t="s">
        <v>74</v>
      </c>
      <c r="BC483" t="s">
        <v>74</v>
      </c>
      <c r="BD483">
        <v>7</v>
      </c>
      <c r="BE483" t="s">
        <v>5457</v>
      </c>
      <c r="BF483" t="str">
        <f>HYPERLINK("http://dx.doi.org/10.1186/1467-4866-9-7","http://dx.doi.org/10.1186/1467-4866-9-7")</f>
        <v>http://dx.doi.org/10.1186/1467-4866-9-7</v>
      </c>
      <c r="BG483" t="s">
        <v>74</v>
      </c>
      <c r="BH483" t="s">
        <v>74</v>
      </c>
      <c r="BI483">
        <v>9</v>
      </c>
      <c r="BJ483" t="s">
        <v>98</v>
      </c>
      <c r="BK483" t="s">
        <v>419</v>
      </c>
      <c r="BL483" t="s">
        <v>98</v>
      </c>
      <c r="BM483" t="s">
        <v>5458</v>
      </c>
      <c r="BN483">
        <v>18513396</v>
      </c>
      <c r="BO483" t="s">
        <v>5459</v>
      </c>
      <c r="BP483" t="s">
        <v>74</v>
      </c>
      <c r="BQ483" t="s">
        <v>74</v>
      </c>
      <c r="BR483" t="s">
        <v>101</v>
      </c>
      <c r="BS483" t="s">
        <v>5460</v>
      </c>
      <c r="BT483" t="str">
        <f>HYPERLINK("https%3A%2F%2Fwww.webofscience.com%2Fwos%2Fwoscc%2Ffull-record%2FWOS:000257561700001","View Full Record in Web of Science")</f>
        <v>View Full Record in Web of Science</v>
      </c>
    </row>
    <row r="484" spans="1:72" x14ac:dyDescent="0.15">
      <c r="A484" t="s">
        <v>72</v>
      </c>
      <c r="B484" t="s">
        <v>5461</v>
      </c>
      <c r="C484" t="s">
        <v>74</v>
      </c>
      <c r="D484" t="s">
        <v>74</v>
      </c>
      <c r="E484" t="s">
        <v>74</v>
      </c>
      <c r="F484" t="s">
        <v>5462</v>
      </c>
      <c r="G484" t="s">
        <v>74</v>
      </c>
      <c r="H484" t="s">
        <v>74</v>
      </c>
      <c r="I484" t="s">
        <v>5463</v>
      </c>
      <c r="J484" t="s">
        <v>3396</v>
      </c>
      <c r="K484" t="s">
        <v>74</v>
      </c>
      <c r="L484" t="s">
        <v>74</v>
      </c>
      <c r="M484" t="s">
        <v>78</v>
      </c>
      <c r="N484" t="s">
        <v>2737</v>
      </c>
      <c r="O484" t="s">
        <v>74</v>
      </c>
      <c r="P484" t="s">
        <v>74</v>
      </c>
      <c r="Q484" t="s">
        <v>74</v>
      </c>
      <c r="R484" t="s">
        <v>74</v>
      </c>
      <c r="S484" t="s">
        <v>74</v>
      </c>
      <c r="T484" t="s">
        <v>74</v>
      </c>
      <c r="U484" t="s">
        <v>5464</v>
      </c>
      <c r="V484" t="s">
        <v>5465</v>
      </c>
      <c r="W484" t="s">
        <v>5466</v>
      </c>
      <c r="X484" t="s">
        <v>5467</v>
      </c>
      <c r="Y484" t="s">
        <v>5468</v>
      </c>
      <c r="Z484" t="s">
        <v>5469</v>
      </c>
      <c r="AA484" t="s">
        <v>5470</v>
      </c>
      <c r="AB484" t="s">
        <v>5471</v>
      </c>
      <c r="AC484" t="s">
        <v>5472</v>
      </c>
      <c r="AD484" t="s">
        <v>3031</v>
      </c>
      <c r="AE484" t="s">
        <v>74</v>
      </c>
      <c r="AF484" t="s">
        <v>74</v>
      </c>
      <c r="AG484">
        <v>55</v>
      </c>
      <c r="AH484">
        <v>72</v>
      </c>
      <c r="AI484">
        <v>76</v>
      </c>
      <c r="AJ484">
        <v>0</v>
      </c>
      <c r="AK484">
        <v>12</v>
      </c>
      <c r="AL484" t="s">
        <v>3280</v>
      </c>
      <c r="AM484" t="s">
        <v>3281</v>
      </c>
      <c r="AN484" t="s">
        <v>3282</v>
      </c>
      <c r="AO484" t="s">
        <v>3406</v>
      </c>
      <c r="AP484" t="s">
        <v>3407</v>
      </c>
      <c r="AQ484" t="s">
        <v>74</v>
      </c>
      <c r="AR484" t="s">
        <v>3408</v>
      </c>
      <c r="AS484" t="s">
        <v>3409</v>
      </c>
      <c r="AT484" t="s">
        <v>5436</v>
      </c>
      <c r="AU484">
        <v>2008</v>
      </c>
      <c r="AV484">
        <v>113</v>
      </c>
      <c r="AW484" t="s">
        <v>5473</v>
      </c>
      <c r="AX484" t="s">
        <v>74</v>
      </c>
      <c r="AY484" t="s">
        <v>74</v>
      </c>
      <c r="AZ484" t="s">
        <v>74</v>
      </c>
      <c r="BA484" t="s">
        <v>74</v>
      </c>
      <c r="BB484" t="s">
        <v>74</v>
      </c>
      <c r="BC484" t="s">
        <v>74</v>
      </c>
      <c r="BD484" t="s">
        <v>5474</v>
      </c>
      <c r="BE484" t="s">
        <v>5475</v>
      </c>
      <c r="BF484" t="str">
        <f>HYPERLINK("http://dx.doi.org/10.1029/2007JD009647","http://dx.doi.org/10.1029/2007JD009647")</f>
        <v>http://dx.doi.org/10.1029/2007JD009647</v>
      </c>
      <c r="BG484" t="s">
        <v>74</v>
      </c>
      <c r="BH484" t="s">
        <v>74</v>
      </c>
      <c r="BI484">
        <v>14</v>
      </c>
      <c r="BJ484" t="s">
        <v>3071</v>
      </c>
      <c r="BK484" t="s">
        <v>419</v>
      </c>
      <c r="BL484" t="s">
        <v>3071</v>
      </c>
      <c r="BM484" t="s">
        <v>5476</v>
      </c>
      <c r="BN484" t="s">
        <v>74</v>
      </c>
      <c r="BO484" t="s">
        <v>74</v>
      </c>
      <c r="BP484" t="s">
        <v>74</v>
      </c>
      <c r="BQ484" t="s">
        <v>74</v>
      </c>
      <c r="BR484" t="s">
        <v>101</v>
      </c>
      <c r="BS484" t="s">
        <v>5477</v>
      </c>
      <c r="BT484" t="str">
        <f>HYPERLINK("https%3A%2F%2Fwww.webofscience.com%2Fwos%2Fwoscc%2Ffull-record%2FWOS:000256359000004","View Full Record in Web of Science")</f>
        <v>View Full Record in Web of Science</v>
      </c>
    </row>
    <row r="485" spans="1:72" x14ac:dyDescent="0.15">
      <c r="A485" t="s">
        <v>72</v>
      </c>
      <c r="B485" t="s">
        <v>5478</v>
      </c>
      <c r="C485" t="s">
        <v>74</v>
      </c>
      <c r="D485" t="s">
        <v>74</v>
      </c>
      <c r="E485" t="s">
        <v>74</v>
      </c>
      <c r="F485" t="s">
        <v>5479</v>
      </c>
      <c r="G485" t="s">
        <v>74</v>
      </c>
      <c r="H485" t="s">
        <v>74</v>
      </c>
      <c r="I485" t="s">
        <v>5480</v>
      </c>
      <c r="J485" t="s">
        <v>3432</v>
      </c>
      <c r="K485" t="s">
        <v>74</v>
      </c>
      <c r="L485" t="s">
        <v>74</v>
      </c>
      <c r="M485" t="s">
        <v>78</v>
      </c>
      <c r="N485" t="s">
        <v>2737</v>
      </c>
      <c r="O485" t="s">
        <v>74</v>
      </c>
      <c r="P485" t="s">
        <v>74</v>
      </c>
      <c r="Q485" t="s">
        <v>74</v>
      </c>
      <c r="R485" t="s">
        <v>74</v>
      </c>
      <c r="S485" t="s">
        <v>74</v>
      </c>
      <c r="T485" t="s">
        <v>74</v>
      </c>
      <c r="U485" t="s">
        <v>5481</v>
      </c>
      <c r="V485" t="s">
        <v>5482</v>
      </c>
      <c r="W485" t="s">
        <v>5483</v>
      </c>
      <c r="X485" t="s">
        <v>5296</v>
      </c>
      <c r="Y485" t="s">
        <v>5484</v>
      </c>
      <c r="Z485" t="s">
        <v>5485</v>
      </c>
      <c r="AA485" t="s">
        <v>74</v>
      </c>
      <c r="AB485" t="s">
        <v>5486</v>
      </c>
      <c r="AC485" t="s">
        <v>74</v>
      </c>
      <c r="AD485" t="s">
        <v>74</v>
      </c>
      <c r="AE485" t="s">
        <v>74</v>
      </c>
      <c r="AF485" t="s">
        <v>74</v>
      </c>
      <c r="AG485">
        <v>47</v>
      </c>
      <c r="AH485">
        <v>18</v>
      </c>
      <c r="AI485">
        <v>19</v>
      </c>
      <c r="AJ485">
        <v>0</v>
      </c>
      <c r="AK485">
        <v>12</v>
      </c>
      <c r="AL485" t="s">
        <v>3280</v>
      </c>
      <c r="AM485" t="s">
        <v>3281</v>
      </c>
      <c r="AN485" t="s">
        <v>3282</v>
      </c>
      <c r="AO485" t="s">
        <v>3439</v>
      </c>
      <c r="AP485" t="s">
        <v>3440</v>
      </c>
      <c r="AQ485" t="s">
        <v>74</v>
      </c>
      <c r="AR485" t="s">
        <v>3441</v>
      </c>
      <c r="AS485" t="s">
        <v>3442</v>
      </c>
      <c r="AT485" t="s">
        <v>5436</v>
      </c>
      <c r="AU485">
        <v>2008</v>
      </c>
      <c r="AV485">
        <v>113</v>
      </c>
      <c r="AW485" t="s">
        <v>5487</v>
      </c>
      <c r="AX485" t="s">
        <v>74</v>
      </c>
      <c r="AY485" t="s">
        <v>74</v>
      </c>
      <c r="AZ485" t="s">
        <v>74</v>
      </c>
      <c r="BA485" t="s">
        <v>74</v>
      </c>
      <c r="BB485" t="s">
        <v>74</v>
      </c>
      <c r="BC485" t="s">
        <v>74</v>
      </c>
      <c r="BD485" t="s">
        <v>5488</v>
      </c>
      <c r="BE485" t="s">
        <v>5489</v>
      </c>
      <c r="BF485" t="str">
        <f>HYPERLINK("http://dx.doi.org/10.1029/2006JC003879","http://dx.doi.org/10.1029/2006JC003879")</f>
        <v>http://dx.doi.org/10.1029/2006JC003879</v>
      </c>
      <c r="BG485" t="s">
        <v>74</v>
      </c>
      <c r="BH485" t="s">
        <v>74</v>
      </c>
      <c r="BI485">
        <v>14</v>
      </c>
      <c r="BJ485" t="s">
        <v>3447</v>
      </c>
      <c r="BK485" t="s">
        <v>419</v>
      </c>
      <c r="BL485" t="s">
        <v>3447</v>
      </c>
      <c r="BM485" t="s">
        <v>5490</v>
      </c>
      <c r="BN485" t="s">
        <v>74</v>
      </c>
      <c r="BO485" t="s">
        <v>3290</v>
      </c>
      <c r="BP485" t="s">
        <v>74</v>
      </c>
      <c r="BQ485" t="s">
        <v>74</v>
      </c>
      <c r="BR485" t="s">
        <v>101</v>
      </c>
      <c r="BS485" t="s">
        <v>5491</v>
      </c>
      <c r="BT485" t="str">
        <f>HYPERLINK("https%3A%2F%2Fwww.webofscience.com%2Fwos%2Fwoscc%2Ffull-record%2FWOS:000256359700001","View Full Record in Web of Science")</f>
        <v>View Full Record in Web of Science</v>
      </c>
    </row>
    <row r="486" spans="1:72" x14ac:dyDescent="0.15">
      <c r="A486" t="s">
        <v>72</v>
      </c>
      <c r="B486" t="s">
        <v>5492</v>
      </c>
      <c r="C486" t="s">
        <v>74</v>
      </c>
      <c r="D486" t="s">
        <v>74</v>
      </c>
      <c r="E486" t="s">
        <v>74</v>
      </c>
      <c r="F486" t="s">
        <v>5493</v>
      </c>
      <c r="G486" t="s">
        <v>74</v>
      </c>
      <c r="H486" t="s">
        <v>74</v>
      </c>
      <c r="I486" t="s">
        <v>5494</v>
      </c>
      <c r="J486" t="s">
        <v>3494</v>
      </c>
      <c r="K486" t="s">
        <v>74</v>
      </c>
      <c r="L486" t="s">
        <v>74</v>
      </c>
      <c r="M486" t="s">
        <v>78</v>
      </c>
      <c r="N486" t="s">
        <v>2737</v>
      </c>
      <c r="O486" t="s">
        <v>74</v>
      </c>
      <c r="P486" t="s">
        <v>74</v>
      </c>
      <c r="Q486" t="s">
        <v>74</v>
      </c>
      <c r="R486" t="s">
        <v>74</v>
      </c>
      <c r="S486" t="s">
        <v>74</v>
      </c>
      <c r="T486" t="s">
        <v>74</v>
      </c>
      <c r="U486" t="s">
        <v>74</v>
      </c>
      <c r="V486" t="s">
        <v>5495</v>
      </c>
      <c r="W486" t="s">
        <v>5496</v>
      </c>
      <c r="X486" t="s">
        <v>5497</v>
      </c>
      <c r="Y486" t="s">
        <v>5498</v>
      </c>
      <c r="Z486" t="s">
        <v>5499</v>
      </c>
      <c r="AA486" t="s">
        <v>5500</v>
      </c>
      <c r="AB486" t="s">
        <v>5501</v>
      </c>
      <c r="AC486" t="s">
        <v>74</v>
      </c>
      <c r="AD486" t="s">
        <v>74</v>
      </c>
      <c r="AE486" t="s">
        <v>74</v>
      </c>
      <c r="AF486" t="s">
        <v>74</v>
      </c>
      <c r="AG486">
        <v>20</v>
      </c>
      <c r="AH486">
        <v>201</v>
      </c>
      <c r="AI486">
        <v>227</v>
      </c>
      <c r="AJ486">
        <v>2</v>
      </c>
      <c r="AK486">
        <v>75</v>
      </c>
      <c r="AL486" t="s">
        <v>3499</v>
      </c>
      <c r="AM486" t="s">
        <v>3281</v>
      </c>
      <c r="AN486" t="s">
        <v>3500</v>
      </c>
      <c r="AO486" t="s">
        <v>3501</v>
      </c>
      <c r="AP486" t="s">
        <v>3518</v>
      </c>
      <c r="AQ486" t="s">
        <v>74</v>
      </c>
      <c r="AR486" t="s">
        <v>3494</v>
      </c>
      <c r="AS486" t="s">
        <v>3502</v>
      </c>
      <c r="AT486" t="s">
        <v>5436</v>
      </c>
      <c r="AU486">
        <v>2008</v>
      </c>
      <c r="AV486">
        <v>320</v>
      </c>
      <c r="AW486">
        <v>5880</v>
      </c>
      <c r="AX486" t="s">
        <v>74</v>
      </c>
      <c r="AY486" t="s">
        <v>74</v>
      </c>
      <c r="AZ486" t="s">
        <v>74</v>
      </c>
      <c r="BA486" t="s">
        <v>74</v>
      </c>
      <c r="BB486">
        <v>1201</v>
      </c>
      <c r="BC486">
        <v>1204</v>
      </c>
      <c r="BD486" t="s">
        <v>74</v>
      </c>
      <c r="BE486" t="s">
        <v>5502</v>
      </c>
      <c r="BF486" t="str">
        <f>HYPERLINK("http://dx.doi.org/10.1126/science.1153966","http://dx.doi.org/10.1126/science.1153966")</f>
        <v>http://dx.doi.org/10.1126/science.1153966</v>
      </c>
      <c r="BG486" t="s">
        <v>74</v>
      </c>
      <c r="BH486" t="s">
        <v>74</v>
      </c>
      <c r="BI486">
        <v>4</v>
      </c>
      <c r="BJ486" t="s">
        <v>3123</v>
      </c>
      <c r="BK486" t="s">
        <v>419</v>
      </c>
      <c r="BL486" t="s">
        <v>3124</v>
      </c>
      <c r="BM486" t="s">
        <v>5503</v>
      </c>
      <c r="BN486">
        <v>18436741</v>
      </c>
      <c r="BO486" t="s">
        <v>74</v>
      </c>
      <c r="BP486" t="s">
        <v>74</v>
      </c>
      <c r="BQ486" t="s">
        <v>74</v>
      </c>
      <c r="BR486" t="s">
        <v>101</v>
      </c>
      <c r="BS486" t="s">
        <v>5504</v>
      </c>
      <c r="BT486" t="str">
        <f>HYPERLINK("https%3A%2F%2Fwww.webofscience.com%2Fwos%2Fwoscc%2Ffull-record%2FWOS:000256233000034","View Full Record in Web of Science")</f>
        <v>View Full Record in Web of Science</v>
      </c>
    </row>
    <row r="487" spans="1:72" x14ac:dyDescent="0.15">
      <c r="A487" t="s">
        <v>72</v>
      </c>
      <c r="B487" t="s">
        <v>5505</v>
      </c>
      <c r="C487" t="s">
        <v>74</v>
      </c>
      <c r="D487" t="s">
        <v>74</v>
      </c>
      <c r="E487" t="s">
        <v>74</v>
      </c>
      <c r="F487" t="s">
        <v>5506</v>
      </c>
      <c r="G487" t="s">
        <v>74</v>
      </c>
      <c r="H487" t="s">
        <v>74</v>
      </c>
      <c r="I487" t="s">
        <v>5507</v>
      </c>
      <c r="J487" t="s">
        <v>3295</v>
      </c>
      <c r="K487" t="s">
        <v>74</v>
      </c>
      <c r="L487" t="s">
        <v>74</v>
      </c>
      <c r="M487" t="s">
        <v>78</v>
      </c>
      <c r="N487" t="s">
        <v>2737</v>
      </c>
      <c r="O487" t="s">
        <v>74</v>
      </c>
      <c r="P487" t="s">
        <v>74</v>
      </c>
      <c r="Q487" t="s">
        <v>74</v>
      </c>
      <c r="R487" t="s">
        <v>74</v>
      </c>
      <c r="S487" t="s">
        <v>74</v>
      </c>
      <c r="T487" t="s">
        <v>74</v>
      </c>
      <c r="U487" t="s">
        <v>5508</v>
      </c>
      <c r="V487" t="s">
        <v>5509</v>
      </c>
      <c r="W487" t="s">
        <v>5510</v>
      </c>
      <c r="X487" t="s">
        <v>5511</v>
      </c>
      <c r="Y487" t="s">
        <v>5512</v>
      </c>
      <c r="Z487" t="s">
        <v>5513</v>
      </c>
      <c r="AA487" t="s">
        <v>5514</v>
      </c>
      <c r="AB487" t="s">
        <v>5515</v>
      </c>
      <c r="AC487" t="s">
        <v>74</v>
      </c>
      <c r="AD487" t="s">
        <v>74</v>
      </c>
      <c r="AE487" t="s">
        <v>74</v>
      </c>
      <c r="AF487" t="s">
        <v>74</v>
      </c>
      <c r="AG487">
        <v>23</v>
      </c>
      <c r="AH487">
        <v>9</v>
      </c>
      <c r="AI487">
        <v>9</v>
      </c>
      <c r="AJ487">
        <v>0</v>
      </c>
      <c r="AK487">
        <v>3</v>
      </c>
      <c r="AL487" t="s">
        <v>3280</v>
      </c>
      <c r="AM487" t="s">
        <v>3281</v>
      </c>
      <c r="AN487" t="s">
        <v>3282</v>
      </c>
      <c r="AO487" t="s">
        <v>3304</v>
      </c>
      <c r="AP487" t="s">
        <v>74</v>
      </c>
      <c r="AQ487" t="s">
        <v>74</v>
      </c>
      <c r="AR487" t="s">
        <v>3306</v>
      </c>
      <c r="AS487" t="s">
        <v>3307</v>
      </c>
      <c r="AT487" t="s">
        <v>5516</v>
      </c>
      <c r="AU487">
        <v>2008</v>
      </c>
      <c r="AV487">
        <v>35</v>
      </c>
      <c r="AW487">
        <v>10</v>
      </c>
      <c r="AX487" t="s">
        <v>74</v>
      </c>
      <c r="AY487" t="s">
        <v>74</v>
      </c>
      <c r="AZ487" t="s">
        <v>74</v>
      </c>
      <c r="BA487" t="s">
        <v>74</v>
      </c>
      <c r="BB487" t="s">
        <v>74</v>
      </c>
      <c r="BC487" t="s">
        <v>74</v>
      </c>
      <c r="BD487" t="s">
        <v>5517</v>
      </c>
      <c r="BE487" t="s">
        <v>5518</v>
      </c>
      <c r="BF487" t="str">
        <f>HYPERLINK("http://dx.doi.org/10.1029/2008GL033704","http://dx.doi.org/10.1029/2008GL033704")</f>
        <v>http://dx.doi.org/10.1029/2008GL033704</v>
      </c>
      <c r="BG487" t="s">
        <v>74</v>
      </c>
      <c r="BH487" t="s">
        <v>74</v>
      </c>
      <c r="BI487">
        <v>5</v>
      </c>
      <c r="BJ487" t="s">
        <v>3093</v>
      </c>
      <c r="BK487" t="s">
        <v>419</v>
      </c>
      <c r="BL487" t="s">
        <v>3094</v>
      </c>
      <c r="BM487" t="s">
        <v>5519</v>
      </c>
      <c r="BN487" t="s">
        <v>74</v>
      </c>
      <c r="BO487" t="s">
        <v>74</v>
      </c>
      <c r="BP487" t="s">
        <v>74</v>
      </c>
      <c r="BQ487" t="s">
        <v>74</v>
      </c>
      <c r="BR487" t="s">
        <v>101</v>
      </c>
      <c r="BS487" t="s">
        <v>5520</v>
      </c>
      <c r="BT487" t="str">
        <f>HYPERLINK("https%3A%2F%2Fwww.webofscience.com%2Fwos%2Fwoscc%2Ffull-record%2FWOS:000256357600005","View Full Record in Web of Science")</f>
        <v>View Full Record in Web of Science</v>
      </c>
    </row>
    <row r="488" spans="1:72" x14ac:dyDescent="0.15">
      <c r="A488" t="s">
        <v>72</v>
      </c>
      <c r="B488" t="s">
        <v>5521</v>
      </c>
      <c r="C488" t="s">
        <v>74</v>
      </c>
      <c r="D488" t="s">
        <v>74</v>
      </c>
      <c r="E488" t="s">
        <v>74</v>
      </c>
      <c r="F488" t="s">
        <v>5522</v>
      </c>
      <c r="G488" t="s">
        <v>74</v>
      </c>
      <c r="H488" t="s">
        <v>74</v>
      </c>
      <c r="I488" t="s">
        <v>5523</v>
      </c>
      <c r="J488" t="s">
        <v>5524</v>
      </c>
      <c r="K488" t="s">
        <v>74</v>
      </c>
      <c r="L488" t="s">
        <v>74</v>
      </c>
      <c r="M488" t="s">
        <v>78</v>
      </c>
      <c r="N488" t="s">
        <v>2737</v>
      </c>
      <c r="O488" t="s">
        <v>74</v>
      </c>
      <c r="P488" t="s">
        <v>74</v>
      </c>
      <c r="Q488" t="s">
        <v>74</v>
      </c>
      <c r="R488" t="s">
        <v>74</v>
      </c>
      <c r="S488" t="s">
        <v>74</v>
      </c>
      <c r="T488" t="s">
        <v>5525</v>
      </c>
      <c r="U488" t="s">
        <v>5526</v>
      </c>
      <c r="V488" t="s">
        <v>5527</v>
      </c>
      <c r="W488" t="s">
        <v>5528</v>
      </c>
      <c r="X488" t="s">
        <v>5529</v>
      </c>
      <c r="Y488" t="s">
        <v>5530</v>
      </c>
      <c r="Z488" t="s">
        <v>5531</v>
      </c>
      <c r="AA488" t="s">
        <v>5532</v>
      </c>
      <c r="AB488" t="s">
        <v>5533</v>
      </c>
      <c r="AC488" t="s">
        <v>74</v>
      </c>
      <c r="AD488" t="s">
        <v>74</v>
      </c>
      <c r="AE488" t="s">
        <v>74</v>
      </c>
      <c r="AF488" t="s">
        <v>74</v>
      </c>
      <c r="AG488">
        <v>18</v>
      </c>
      <c r="AH488">
        <v>65</v>
      </c>
      <c r="AI488">
        <v>71</v>
      </c>
      <c r="AJ488">
        <v>0</v>
      </c>
      <c r="AK488">
        <v>14</v>
      </c>
      <c r="AL488" t="s">
        <v>3007</v>
      </c>
      <c r="AM488" t="s">
        <v>3008</v>
      </c>
      <c r="AN488" t="s">
        <v>3009</v>
      </c>
      <c r="AO488" t="s">
        <v>5534</v>
      </c>
      <c r="AP488" t="s">
        <v>74</v>
      </c>
      <c r="AQ488" t="s">
        <v>74</v>
      </c>
      <c r="AR488" t="s">
        <v>5524</v>
      </c>
      <c r="AS488" t="s">
        <v>5535</v>
      </c>
      <c r="AT488" t="s">
        <v>5536</v>
      </c>
      <c r="AU488">
        <v>2008</v>
      </c>
      <c r="AV488">
        <v>64</v>
      </c>
      <c r="AW488">
        <v>22</v>
      </c>
      <c r="AX488" t="s">
        <v>74</v>
      </c>
      <c r="AY488" t="s">
        <v>74</v>
      </c>
      <c r="AZ488" t="s">
        <v>74</v>
      </c>
      <c r="BA488" t="s">
        <v>74</v>
      </c>
      <c r="BB488">
        <v>5119</v>
      </c>
      <c r="BC488">
        <v>5123</v>
      </c>
      <c r="BD488" t="s">
        <v>74</v>
      </c>
      <c r="BE488" t="s">
        <v>5537</v>
      </c>
      <c r="BF488" t="str">
        <f>HYPERLINK("http://dx.doi.org/10.1016/j.tet.2008.03.060","http://dx.doi.org/10.1016/j.tet.2008.03.060")</f>
        <v>http://dx.doi.org/10.1016/j.tet.2008.03.060</v>
      </c>
      <c r="BG488" t="s">
        <v>74</v>
      </c>
      <c r="BH488" t="s">
        <v>74</v>
      </c>
      <c r="BI488">
        <v>5</v>
      </c>
      <c r="BJ488" t="s">
        <v>5538</v>
      </c>
      <c r="BK488" t="s">
        <v>5539</v>
      </c>
      <c r="BL488" t="s">
        <v>3834</v>
      </c>
      <c r="BM488" t="s">
        <v>5540</v>
      </c>
      <c r="BN488" t="s">
        <v>74</v>
      </c>
      <c r="BO488" t="s">
        <v>74</v>
      </c>
      <c r="BP488" t="s">
        <v>74</v>
      </c>
      <c r="BQ488" t="s">
        <v>74</v>
      </c>
      <c r="BR488" t="s">
        <v>101</v>
      </c>
      <c r="BS488" t="s">
        <v>5541</v>
      </c>
      <c r="BT488" t="str">
        <f>HYPERLINK("https%3A%2F%2Fwww.webofscience.com%2Fwos%2Fwoscc%2Ffull-record%2FWOS:000256179700029","View Full Record in Web of Science")</f>
        <v>View Full Record in Web of Science</v>
      </c>
    </row>
    <row r="489" spans="1:72" x14ac:dyDescent="0.15">
      <c r="A489" t="s">
        <v>72</v>
      </c>
      <c r="B489" t="s">
        <v>5542</v>
      </c>
      <c r="C489" t="s">
        <v>74</v>
      </c>
      <c r="D489" t="s">
        <v>74</v>
      </c>
      <c r="E489" t="s">
        <v>74</v>
      </c>
      <c r="F489" t="s">
        <v>5543</v>
      </c>
      <c r="G489" t="s">
        <v>74</v>
      </c>
      <c r="H489" t="s">
        <v>74</v>
      </c>
      <c r="I489" t="s">
        <v>5544</v>
      </c>
      <c r="J489" t="s">
        <v>3295</v>
      </c>
      <c r="K489" t="s">
        <v>74</v>
      </c>
      <c r="L489" t="s">
        <v>74</v>
      </c>
      <c r="M489" t="s">
        <v>78</v>
      </c>
      <c r="N489" t="s">
        <v>2737</v>
      </c>
      <c r="O489" t="s">
        <v>74</v>
      </c>
      <c r="P489" t="s">
        <v>74</v>
      </c>
      <c r="Q489" t="s">
        <v>74</v>
      </c>
      <c r="R489" t="s">
        <v>74</v>
      </c>
      <c r="S489" t="s">
        <v>74</v>
      </c>
      <c r="T489" t="s">
        <v>74</v>
      </c>
      <c r="U489" t="s">
        <v>5545</v>
      </c>
      <c r="V489" t="s">
        <v>5546</v>
      </c>
      <c r="W489" t="s">
        <v>5547</v>
      </c>
      <c r="X489" t="s">
        <v>5548</v>
      </c>
      <c r="Y489" t="s">
        <v>5549</v>
      </c>
      <c r="Z489" t="s">
        <v>5550</v>
      </c>
      <c r="AA489" t="s">
        <v>5551</v>
      </c>
      <c r="AB489" t="s">
        <v>74</v>
      </c>
      <c r="AC489" t="s">
        <v>74</v>
      </c>
      <c r="AD489" t="s">
        <v>74</v>
      </c>
      <c r="AE489" t="s">
        <v>74</v>
      </c>
      <c r="AF489" t="s">
        <v>74</v>
      </c>
      <c r="AG489">
        <v>19</v>
      </c>
      <c r="AH489">
        <v>18</v>
      </c>
      <c r="AI489">
        <v>18</v>
      </c>
      <c r="AJ489">
        <v>3</v>
      </c>
      <c r="AK489">
        <v>13</v>
      </c>
      <c r="AL489" t="s">
        <v>3280</v>
      </c>
      <c r="AM489" t="s">
        <v>3281</v>
      </c>
      <c r="AN489" t="s">
        <v>3282</v>
      </c>
      <c r="AO489" t="s">
        <v>3304</v>
      </c>
      <c r="AP489" t="s">
        <v>74</v>
      </c>
      <c r="AQ489" t="s">
        <v>74</v>
      </c>
      <c r="AR489" t="s">
        <v>3306</v>
      </c>
      <c r="AS489" t="s">
        <v>3307</v>
      </c>
      <c r="AT489" t="s">
        <v>5552</v>
      </c>
      <c r="AU489">
        <v>2008</v>
      </c>
      <c r="AV489">
        <v>35</v>
      </c>
      <c r="AW489">
        <v>10</v>
      </c>
      <c r="AX489" t="s">
        <v>74</v>
      </c>
      <c r="AY489" t="s">
        <v>74</v>
      </c>
      <c r="AZ489" t="s">
        <v>74</v>
      </c>
      <c r="BA489" t="s">
        <v>74</v>
      </c>
      <c r="BB489" t="s">
        <v>74</v>
      </c>
      <c r="BC489" t="s">
        <v>74</v>
      </c>
      <c r="BD489" t="s">
        <v>5553</v>
      </c>
      <c r="BE489" t="s">
        <v>5554</v>
      </c>
      <c r="BF489" t="str">
        <f>HYPERLINK("http://dx.doi.org/10.1029/2008GL033286","http://dx.doi.org/10.1029/2008GL033286")</f>
        <v>http://dx.doi.org/10.1029/2008GL033286</v>
      </c>
      <c r="BG489" t="s">
        <v>74</v>
      </c>
      <c r="BH489" t="s">
        <v>74</v>
      </c>
      <c r="BI489">
        <v>6</v>
      </c>
      <c r="BJ489" t="s">
        <v>3093</v>
      </c>
      <c r="BK489" t="s">
        <v>419</v>
      </c>
      <c r="BL489" t="s">
        <v>3094</v>
      </c>
      <c r="BM489" t="s">
        <v>5555</v>
      </c>
      <c r="BN489" t="s">
        <v>74</v>
      </c>
      <c r="BO489" t="s">
        <v>3359</v>
      </c>
      <c r="BP489" t="s">
        <v>74</v>
      </c>
      <c r="BQ489" t="s">
        <v>74</v>
      </c>
      <c r="BR489" t="s">
        <v>101</v>
      </c>
      <c r="BS489" t="s">
        <v>5556</v>
      </c>
      <c r="BT489" t="str">
        <f>HYPERLINK("https%3A%2F%2Fwww.webofscience.com%2Fwos%2Fwoscc%2Ffull-record%2FWOS:000256137900003","View Full Record in Web of Science")</f>
        <v>View Full Record in Web of Science</v>
      </c>
    </row>
    <row r="490" spans="1:72" x14ac:dyDescent="0.15">
      <c r="A490" t="s">
        <v>72</v>
      </c>
      <c r="B490" t="s">
        <v>5557</v>
      </c>
      <c r="C490" t="s">
        <v>74</v>
      </c>
      <c r="D490" t="s">
        <v>74</v>
      </c>
      <c r="E490" t="s">
        <v>74</v>
      </c>
      <c r="F490" t="s">
        <v>5558</v>
      </c>
      <c r="G490" t="s">
        <v>74</v>
      </c>
      <c r="H490" t="s">
        <v>74</v>
      </c>
      <c r="I490" t="s">
        <v>5559</v>
      </c>
      <c r="J490" t="s">
        <v>5560</v>
      </c>
      <c r="K490" t="s">
        <v>74</v>
      </c>
      <c r="L490" t="s">
        <v>74</v>
      </c>
      <c r="M490" t="s">
        <v>78</v>
      </c>
      <c r="N490" t="s">
        <v>2737</v>
      </c>
      <c r="O490" t="s">
        <v>74</v>
      </c>
      <c r="P490" t="s">
        <v>74</v>
      </c>
      <c r="Q490" t="s">
        <v>74</v>
      </c>
      <c r="R490" t="s">
        <v>74</v>
      </c>
      <c r="S490" t="s">
        <v>74</v>
      </c>
      <c r="T490" t="s">
        <v>74</v>
      </c>
      <c r="U490" t="s">
        <v>5561</v>
      </c>
      <c r="V490" t="s">
        <v>5562</v>
      </c>
      <c r="W490" t="s">
        <v>5563</v>
      </c>
      <c r="X490" t="s">
        <v>5564</v>
      </c>
      <c r="Y490" t="s">
        <v>5565</v>
      </c>
      <c r="Z490" t="s">
        <v>5566</v>
      </c>
      <c r="AA490" t="s">
        <v>5567</v>
      </c>
      <c r="AB490" t="s">
        <v>5568</v>
      </c>
      <c r="AC490" t="s">
        <v>74</v>
      </c>
      <c r="AD490" t="s">
        <v>74</v>
      </c>
      <c r="AE490" t="s">
        <v>74</v>
      </c>
      <c r="AF490" t="s">
        <v>74</v>
      </c>
      <c r="AG490">
        <v>43</v>
      </c>
      <c r="AH490">
        <v>36</v>
      </c>
      <c r="AI490">
        <v>40</v>
      </c>
      <c r="AJ490">
        <v>2</v>
      </c>
      <c r="AK490">
        <v>15</v>
      </c>
      <c r="AL490" t="s">
        <v>3280</v>
      </c>
      <c r="AM490" t="s">
        <v>3281</v>
      </c>
      <c r="AN490" t="s">
        <v>3282</v>
      </c>
      <c r="AO490" t="s">
        <v>5569</v>
      </c>
      <c r="AP490" t="s">
        <v>5570</v>
      </c>
      <c r="AQ490" t="s">
        <v>74</v>
      </c>
      <c r="AR490" t="s">
        <v>5571</v>
      </c>
      <c r="AS490" t="s">
        <v>5572</v>
      </c>
      <c r="AT490" t="s">
        <v>5573</v>
      </c>
      <c r="AU490">
        <v>2008</v>
      </c>
      <c r="AV490">
        <v>113</v>
      </c>
      <c r="AW490" t="s">
        <v>5574</v>
      </c>
      <c r="AX490" t="s">
        <v>74</v>
      </c>
      <c r="AY490" t="s">
        <v>74</v>
      </c>
      <c r="AZ490" t="s">
        <v>74</v>
      </c>
      <c r="BA490" t="s">
        <v>74</v>
      </c>
      <c r="BB490" t="s">
        <v>74</v>
      </c>
      <c r="BC490" t="s">
        <v>74</v>
      </c>
      <c r="BD490" t="s">
        <v>5575</v>
      </c>
      <c r="BE490" t="s">
        <v>5576</v>
      </c>
      <c r="BF490" t="str">
        <f>HYPERLINK("http://dx.doi.org/10.1029/2007JF000764","http://dx.doi.org/10.1029/2007JF000764")</f>
        <v>http://dx.doi.org/10.1029/2007JF000764</v>
      </c>
      <c r="BG490" t="s">
        <v>74</v>
      </c>
      <c r="BH490" t="s">
        <v>74</v>
      </c>
      <c r="BI490">
        <v>9</v>
      </c>
      <c r="BJ490" t="s">
        <v>3093</v>
      </c>
      <c r="BK490" t="s">
        <v>419</v>
      </c>
      <c r="BL490" t="s">
        <v>3094</v>
      </c>
      <c r="BM490" t="s">
        <v>5577</v>
      </c>
      <c r="BN490" t="s">
        <v>74</v>
      </c>
      <c r="BO490" t="s">
        <v>3290</v>
      </c>
      <c r="BP490" t="s">
        <v>74</v>
      </c>
      <c r="BQ490" t="s">
        <v>74</v>
      </c>
      <c r="BR490" t="s">
        <v>101</v>
      </c>
      <c r="BS490" t="s">
        <v>5578</v>
      </c>
      <c r="BT490" t="str">
        <f>HYPERLINK("https%3A%2F%2Fwww.webofscience.com%2Fwos%2Fwoscc%2Ffull-record%2FWOS:000256139700001","View Full Record in Web of Science")</f>
        <v>View Full Record in Web of Science</v>
      </c>
    </row>
    <row r="491" spans="1:72" x14ac:dyDescent="0.15">
      <c r="A491" t="s">
        <v>72</v>
      </c>
      <c r="B491" t="s">
        <v>5579</v>
      </c>
      <c r="C491" t="s">
        <v>74</v>
      </c>
      <c r="D491" t="s">
        <v>74</v>
      </c>
      <c r="E491" t="s">
        <v>74</v>
      </c>
      <c r="F491" t="s">
        <v>5580</v>
      </c>
      <c r="G491" t="s">
        <v>74</v>
      </c>
      <c r="H491" t="s">
        <v>74</v>
      </c>
      <c r="I491" t="s">
        <v>5581</v>
      </c>
      <c r="J491" t="s">
        <v>3432</v>
      </c>
      <c r="K491" t="s">
        <v>74</v>
      </c>
      <c r="L491" t="s">
        <v>74</v>
      </c>
      <c r="M491" t="s">
        <v>78</v>
      </c>
      <c r="N491" t="s">
        <v>2737</v>
      </c>
      <c r="O491" t="s">
        <v>74</v>
      </c>
      <c r="P491" t="s">
        <v>74</v>
      </c>
      <c r="Q491" t="s">
        <v>74</v>
      </c>
      <c r="R491" t="s">
        <v>74</v>
      </c>
      <c r="S491" t="s">
        <v>74</v>
      </c>
      <c r="T491" t="s">
        <v>74</v>
      </c>
      <c r="U491" t="s">
        <v>5582</v>
      </c>
      <c r="V491" t="s">
        <v>5583</v>
      </c>
      <c r="W491" t="s">
        <v>5584</v>
      </c>
      <c r="X491" t="s">
        <v>5585</v>
      </c>
      <c r="Y491" t="s">
        <v>5586</v>
      </c>
      <c r="Z491" t="s">
        <v>5587</v>
      </c>
      <c r="AA491" t="s">
        <v>5588</v>
      </c>
      <c r="AB491" t="s">
        <v>5589</v>
      </c>
      <c r="AC491" t="s">
        <v>74</v>
      </c>
      <c r="AD491" t="s">
        <v>74</v>
      </c>
      <c r="AE491" t="s">
        <v>74</v>
      </c>
      <c r="AF491" t="s">
        <v>74</v>
      </c>
      <c r="AG491">
        <v>37</v>
      </c>
      <c r="AH491">
        <v>251</v>
      </c>
      <c r="AI491">
        <v>281</v>
      </c>
      <c r="AJ491">
        <v>0</v>
      </c>
      <c r="AK491">
        <v>48</v>
      </c>
      <c r="AL491" t="s">
        <v>3280</v>
      </c>
      <c r="AM491" t="s">
        <v>3281</v>
      </c>
      <c r="AN491" t="s">
        <v>3282</v>
      </c>
      <c r="AO491" t="s">
        <v>3439</v>
      </c>
      <c r="AP491" t="s">
        <v>3440</v>
      </c>
      <c r="AQ491" t="s">
        <v>74</v>
      </c>
      <c r="AR491" t="s">
        <v>3441</v>
      </c>
      <c r="AS491" t="s">
        <v>3442</v>
      </c>
      <c r="AT491" t="s">
        <v>5573</v>
      </c>
      <c r="AU491">
        <v>2008</v>
      </c>
      <c r="AV491">
        <v>113</v>
      </c>
      <c r="AW491" t="s">
        <v>5487</v>
      </c>
      <c r="AX491" t="s">
        <v>74</v>
      </c>
      <c r="AY491" t="s">
        <v>74</v>
      </c>
      <c r="AZ491" t="s">
        <v>74</v>
      </c>
      <c r="BA491" t="s">
        <v>74</v>
      </c>
      <c r="BB491" t="s">
        <v>74</v>
      </c>
      <c r="BC491" t="s">
        <v>74</v>
      </c>
      <c r="BD491" t="s">
        <v>5590</v>
      </c>
      <c r="BE491" t="s">
        <v>5591</v>
      </c>
      <c r="BF491" t="str">
        <f>HYPERLINK("http://dx.doi.org/10.1029/2007JC004477","http://dx.doi.org/10.1029/2007JC004477")</f>
        <v>http://dx.doi.org/10.1029/2007JC004477</v>
      </c>
      <c r="BG491" t="s">
        <v>74</v>
      </c>
      <c r="BH491" t="s">
        <v>74</v>
      </c>
      <c r="BI491">
        <v>13</v>
      </c>
      <c r="BJ491" t="s">
        <v>3447</v>
      </c>
      <c r="BK491" t="s">
        <v>419</v>
      </c>
      <c r="BL491" t="s">
        <v>3447</v>
      </c>
      <c r="BM491" t="s">
        <v>5592</v>
      </c>
      <c r="BN491" t="s">
        <v>74</v>
      </c>
      <c r="BO491" t="s">
        <v>3290</v>
      </c>
      <c r="BP491" t="s">
        <v>74</v>
      </c>
      <c r="BQ491" t="s">
        <v>74</v>
      </c>
      <c r="BR491" t="s">
        <v>101</v>
      </c>
      <c r="BS491" t="s">
        <v>5593</v>
      </c>
      <c r="BT491" t="str">
        <f>HYPERLINK("https%3A%2F%2Fwww.webofscience.com%2Fwos%2Fwoscc%2Ffull-record%2FWOS:000256140300005","View Full Record in Web of Science")</f>
        <v>View Full Record in Web of Science</v>
      </c>
    </row>
    <row r="492" spans="1:72" x14ac:dyDescent="0.15">
      <c r="A492" t="s">
        <v>72</v>
      </c>
      <c r="B492" t="s">
        <v>5594</v>
      </c>
      <c r="C492" t="s">
        <v>74</v>
      </c>
      <c r="D492" t="s">
        <v>74</v>
      </c>
      <c r="E492" t="s">
        <v>74</v>
      </c>
      <c r="F492" t="s">
        <v>5595</v>
      </c>
      <c r="G492" t="s">
        <v>74</v>
      </c>
      <c r="H492" t="s">
        <v>74</v>
      </c>
      <c r="I492" t="s">
        <v>5596</v>
      </c>
      <c r="J492" t="s">
        <v>3432</v>
      </c>
      <c r="K492" t="s">
        <v>74</v>
      </c>
      <c r="L492" t="s">
        <v>74</v>
      </c>
      <c r="M492" t="s">
        <v>78</v>
      </c>
      <c r="N492" t="s">
        <v>2737</v>
      </c>
      <c r="O492" t="s">
        <v>74</v>
      </c>
      <c r="P492" t="s">
        <v>74</v>
      </c>
      <c r="Q492" t="s">
        <v>74</v>
      </c>
      <c r="R492" t="s">
        <v>74</v>
      </c>
      <c r="S492" t="s">
        <v>74</v>
      </c>
      <c r="T492" t="s">
        <v>74</v>
      </c>
      <c r="U492" t="s">
        <v>5597</v>
      </c>
      <c r="V492" t="s">
        <v>5598</v>
      </c>
      <c r="W492" t="s">
        <v>5599</v>
      </c>
      <c r="X492" t="s">
        <v>5600</v>
      </c>
      <c r="Y492" t="s">
        <v>5601</v>
      </c>
      <c r="Z492" t="s">
        <v>5602</v>
      </c>
      <c r="AA492" t="s">
        <v>74</v>
      </c>
      <c r="AB492" t="s">
        <v>74</v>
      </c>
      <c r="AC492" t="s">
        <v>74</v>
      </c>
      <c r="AD492" t="s">
        <v>74</v>
      </c>
      <c r="AE492" t="s">
        <v>74</v>
      </c>
      <c r="AF492" t="s">
        <v>74</v>
      </c>
      <c r="AG492">
        <v>63</v>
      </c>
      <c r="AH492">
        <v>126</v>
      </c>
      <c r="AI492">
        <v>134</v>
      </c>
      <c r="AJ492">
        <v>1</v>
      </c>
      <c r="AK492">
        <v>34</v>
      </c>
      <c r="AL492" t="s">
        <v>3280</v>
      </c>
      <c r="AM492" t="s">
        <v>3281</v>
      </c>
      <c r="AN492" t="s">
        <v>3282</v>
      </c>
      <c r="AO492" t="s">
        <v>3439</v>
      </c>
      <c r="AP492" t="s">
        <v>3440</v>
      </c>
      <c r="AQ492" t="s">
        <v>74</v>
      </c>
      <c r="AR492" t="s">
        <v>3441</v>
      </c>
      <c r="AS492" t="s">
        <v>3442</v>
      </c>
      <c r="AT492" t="s">
        <v>5573</v>
      </c>
      <c r="AU492">
        <v>2008</v>
      </c>
      <c r="AV492">
        <v>113</v>
      </c>
      <c r="AW492" t="s">
        <v>5487</v>
      </c>
      <c r="AX492" t="s">
        <v>74</v>
      </c>
      <c r="AY492" t="s">
        <v>74</v>
      </c>
      <c r="AZ492" t="s">
        <v>74</v>
      </c>
      <c r="BA492" t="s">
        <v>74</v>
      </c>
      <c r="BB492" t="s">
        <v>74</v>
      </c>
      <c r="BC492" t="s">
        <v>74</v>
      </c>
      <c r="BD492" t="s">
        <v>5603</v>
      </c>
      <c r="BE492" t="s">
        <v>5604</v>
      </c>
      <c r="BF492" t="str">
        <f>HYPERLINK("http://dx.doi.org/10.1029/2007JC004251","http://dx.doi.org/10.1029/2007JC004251")</f>
        <v>http://dx.doi.org/10.1029/2007JC004251</v>
      </c>
      <c r="BG492" t="s">
        <v>74</v>
      </c>
      <c r="BH492" t="s">
        <v>74</v>
      </c>
      <c r="BI492">
        <v>19</v>
      </c>
      <c r="BJ492" t="s">
        <v>3447</v>
      </c>
      <c r="BK492" t="s">
        <v>419</v>
      </c>
      <c r="BL492" t="s">
        <v>3447</v>
      </c>
      <c r="BM492" t="s">
        <v>5592</v>
      </c>
      <c r="BN492" t="s">
        <v>74</v>
      </c>
      <c r="BO492" t="s">
        <v>5605</v>
      </c>
      <c r="BP492" t="s">
        <v>74</v>
      </c>
      <c r="BQ492" t="s">
        <v>74</v>
      </c>
      <c r="BR492" t="s">
        <v>101</v>
      </c>
      <c r="BS492" t="s">
        <v>5606</v>
      </c>
      <c r="BT492" t="str">
        <f>HYPERLINK("https%3A%2F%2Fwww.webofscience.com%2Fwos%2Fwoscc%2Ffull-record%2FWOS:000256140300003","View Full Record in Web of Science")</f>
        <v>View Full Record in Web of Science</v>
      </c>
    </row>
    <row r="493" spans="1:72" x14ac:dyDescent="0.15">
      <c r="A493" t="s">
        <v>72</v>
      </c>
      <c r="B493" t="s">
        <v>5607</v>
      </c>
      <c r="C493" t="s">
        <v>74</v>
      </c>
      <c r="D493" t="s">
        <v>74</v>
      </c>
      <c r="E493" t="s">
        <v>74</v>
      </c>
      <c r="F493" t="s">
        <v>5608</v>
      </c>
      <c r="G493" t="s">
        <v>74</v>
      </c>
      <c r="H493" t="s">
        <v>74</v>
      </c>
      <c r="I493" t="s">
        <v>5609</v>
      </c>
      <c r="J493" t="s">
        <v>3432</v>
      </c>
      <c r="K493" t="s">
        <v>74</v>
      </c>
      <c r="L493" t="s">
        <v>74</v>
      </c>
      <c r="M493" t="s">
        <v>78</v>
      </c>
      <c r="N493" t="s">
        <v>2737</v>
      </c>
      <c r="O493" t="s">
        <v>74</v>
      </c>
      <c r="P493" t="s">
        <v>74</v>
      </c>
      <c r="Q493" t="s">
        <v>74</v>
      </c>
      <c r="R493" t="s">
        <v>74</v>
      </c>
      <c r="S493" t="s">
        <v>74</v>
      </c>
      <c r="T493" t="s">
        <v>74</v>
      </c>
      <c r="U493" t="s">
        <v>5610</v>
      </c>
      <c r="V493" t="s">
        <v>5611</v>
      </c>
      <c r="W493" t="s">
        <v>5612</v>
      </c>
      <c r="X493" t="s">
        <v>5613</v>
      </c>
      <c r="Y493" t="s">
        <v>5614</v>
      </c>
      <c r="Z493" t="s">
        <v>5615</v>
      </c>
      <c r="AA493" t="s">
        <v>5616</v>
      </c>
      <c r="AB493" t="s">
        <v>5617</v>
      </c>
      <c r="AC493" t="s">
        <v>74</v>
      </c>
      <c r="AD493" t="s">
        <v>74</v>
      </c>
      <c r="AE493" t="s">
        <v>74</v>
      </c>
      <c r="AF493" t="s">
        <v>74</v>
      </c>
      <c r="AG493">
        <v>27</v>
      </c>
      <c r="AH493">
        <v>59</v>
      </c>
      <c r="AI493">
        <v>60</v>
      </c>
      <c r="AJ493">
        <v>1</v>
      </c>
      <c r="AK493">
        <v>9</v>
      </c>
      <c r="AL493" t="s">
        <v>3280</v>
      </c>
      <c r="AM493" t="s">
        <v>3281</v>
      </c>
      <c r="AN493" t="s">
        <v>3282</v>
      </c>
      <c r="AO493" t="s">
        <v>3439</v>
      </c>
      <c r="AP493" t="s">
        <v>3440</v>
      </c>
      <c r="AQ493" t="s">
        <v>74</v>
      </c>
      <c r="AR493" t="s">
        <v>3441</v>
      </c>
      <c r="AS493" t="s">
        <v>3442</v>
      </c>
      <c r="AT493" t="s">
        <v>5573</v>
      </c>
      <c r="AU493">
        <v>2008</v>
      </c>
      <c r="AV493">
        <v>113</v>
      </c>
      <c r="AW493" t="s">
        <v>5487</v>
      </c>
      <c r="AX493" t="s">
        <v>74</v>
      </c>
      <c r="AY493" t="s">
        <v>74</v>
      </c>
      <c r="AZ493" t="s">
        <v>74</v>
      </c>
      <c r="BA493" t="s">
        <v>74</v>
      </c>
      <c r="BB493" t="s">
        <v>74</v>
      </c>
      <c r="BC493" t="s">
        <v>74</v>
      </c>
      <c r="BD493" t="s">
        <v>5618</v>
      </c>
      <c r="BE493" t="s">
        <v>5619</v>
      </c>
      <c r="BF493" t="str">
        <f>HYPERLINK("http://dx.doi.org/10.1029/2007JC004181","http://dx.doi.org/10.1029/2007JC004181")</f>
        <v>http://dx.doi.org/10.1029/2007JC004181</v>
      </c>
      <c r="BG493" t="s">
        <v>74</v>
      </c>
      <c r="BH493" t="s">
        <v>74</v>
      </c>
      <c r="BI493">
        <v>13</v>
      </c>
      <c r="BJ493" t="s">
        <v>3447</v>
      </c>
      <c r="BK493" t="s">
        <v>419</v>
      </c>
      <c r="BL493" t="s">
        <v>3447</v>
      </c>
      <c r="BM493" t="s">
        <v>5592</v>
      </c>
      <c r="BN493" t="s">
        <v>74</v>
      </c>
      <c r="BO493" t="s">
        <v>5620</v>
      </c>
      <c r="BP493" t="s">
        <v>74</v>
      </c>
      <c r="BQ493" t="s">
        <v>74</v>
      </c>
      <c r="BR493" t="s">
        <v>101</v>
      </c>
      <c r="BS493" t="s">
        <v>5621</v>
      </c>
      <c r="BT493" t="str">
        <f>HYPERLINK("https%3A%2F%2Fwww.webofscience.com%2Fwos%2Fwoscc%2Ffull-record%2FWOS:000256140300001","View Full Record in Web of Science")</f>
        <v>View Full Record in Web of Science</v>
      </c>
    </row>
    <row r="494" spans="1:72" x14ac:dyDescent="0.15">
      <c r="A494" t="s">
        <v>72</v>
      </c>
      <c r="B494" t="s">
        <v>5622</v>
      </c>
      <c r="C494" t="s">
        <v>74</v>
      </c>
      <c r="D494" t="s">
        <v>74</v>
      </c>
      <c r="E494" t="s">
        <v>74</v>
      </c>
      <c r="F494" t="s">
        <v>5623</v>
      </c>
      <c r="G494" t="s">
        <v>74</v>
      </c>
      <c r="H494" t="s">
        <v>74</v>
      </c>
      <c r="I494" t="s">
        <v>5624</v>
      </c>
      <c r="J494" t="s">
        <v>3432</v>
      </c>
      <c r="K494" t="s">
        <v>74</v>
      </c>
      <c r="L494" t="s">
        <v>74</v>
      </c>
      <c r="M494" t="s">
        <v>78</v>
      </c>
      <c r="N494" t="s">
        <v>2737</v>
      </c>
      <c r="O494" t="s">
        <v>74</v>
      </c>
      <c r="P494" t="s">
        <v>74</v>
      </c>
      <c r="Q494" t="s">
        <v>74</v>
      </c>
      <c r="R494" t="s">
        <v>74</v>
      </c>
      <c r="S494" t="s">
        <v>74</v>
      </c>
      <c r="T494" t="s">
        <v>74</v>
      </c>
      <c r="U494" t="s">
        <v>5625</v>
      </c>
      <c r="V494" t="s">
        <v>5626</v>
      </c>
      <c r="W494" t="s">
        <v>5627</v>
      </c>
      <c r="X494" t="s">
        <v>5628</v>
      </c>
      <c r="Y494" t="s">
        <v>5629</v>
      </c>
      <c r="Z494" t="s">
        <v>5615</v>
      </c>
      <c r="AA494" t="s">
        <v>5630</v>
      </c>
      <c r="AB494" t="s">
        <v>74</v>
      </c>
      <c r="AC494" t="s">
        <v>74</v>
      </c>
      <c r="AD494" t="s">
        <v>74</v>
      </c>
      <c r="AE494" t="s">
        <v>74</v>
      </c>
      <c r="AF494" t="s">
        <v>74</v>
      </c>
      <c r="AG494">
        <v>68</v>
      </c>
      <c r="AH494">
        <v>228</v>
      </c>
      <c r="AI494">
        <v>259</v>
      </c>
      <c r="AJ494">
        <v>1</v>
      </c>
      <c r="AK494">
        <v>48</v>
      </c>
      <c r="AL494" t="s">
        <v>3280</v>
      </c>
      <c r="AM494" t="s">
        <v>3281</v>
      </c>
      <c r="AN494" t="s">
        <v>3282</v>
      </c>
      <c r="AO494" t="s">
        <v>3439</v>
      </c>
      <c r="AP494" t="s">
        <v>3440</v>
      </c>
      <c r="AQ494" t="s">
        <v>74</v>
      </c>
      <c r="AR494" t="s">
        <v>3441</v>
      </c>
      <c r="AS494" t="s">
        <v>3442</v>
      </c>
      <c r="AT494" t="s">
        <v>5573</v>
      </c>
      <c r="AU494">
        <v>2008</v>
      </c>
      <c r="AV494">
        <v>113</v>
      </c>
      <c r="AW494" t="s">
        <v>5487</v>
      </c>
      <c r="AX494" t="s">
        <v>74</v>
      </c>
      <c r="AY494" t="s">
        <v>74</v>
      </c>
      <c r="AZ494" t="s">
        <v>74</v>
      </c>
      <c r="BA494" t="s">
        <v>74</v>
      </c>
      <c r="BB494" t="s">
        <v>74</v>
      </c>
      <c r="BC494" t="s">
        <v>74</v>
      </c>
      <c r="BD494" t="s">
        <v>5631</v>
      </c>
      <c r="BE494" t="s">
        <v>5632</v>
      </c>
      <c r="BF494" t="str">
        <f>HYPERLINK("http://dx.doi.org/10.1029/2007JC004254","http://dx.doi.org/10.1029/2007JC004254")</f>
        <v>http://dx.doi.org/10.1029/2007JC004254</v>
      </c>
      <c r="BG494" t="s">
        <v>74</v>
      </c>
      <c r="BH494" t="s">
        <v>74</v>
      </c>
      <c r="BI494">
        <v>14</v>
      </c>
      <c r="BJ494" t="s">
        <v>3447</v>
      </c>
      <c r="BK494" t="s">
        <v>419</v>
      </c>
      <c r="BL494" t="s">
        <v>3447</v>
      </c>
      <c r="BM494" t="s">
        <v>5592</v>
      </c>
      <c r="BN494" t="s">
        <v>74</v>
      </c>
      <c r="BO494" t="s">
        <v>3290</v>
      </c>
      <c r="BP494" t="s">
        <v>74</v>
      </c>
      <c r="BQ494" t="s">
        <v>74</v>
      </c>
      <c r="BR494" t="s">
        <v>101</v>
      </c>
      <c r="BS494" t="s">
        <v>5633</v>
      </c>
      <c r="BT494" t="str">
        <f>HYPERLINK("https%3A%2F%2Fwww.webofscience.com%2Fwos%2Fwoscc%2Ffull-record%2FWOS:000256140300004","View Full Record in Web of Science")</f>
        <v>View Full Record in Web of Science</v>
      </c>
    </row>
    <row r="495" spans="1:72" x14ac:dyDescent="0.15">
      <c r="A495" t="s">
        <v>72</v>
      </c>
      <c r="B495" t="s">
        <v>5634</v>
      </c>
      <c r="C495" t="s">
        <v>74</v>
      </c>
      <c r="D495" t="s">
        <v>74</v>
      </c>
      <c r="E495" t="s">
        <v>74</v>
      </c>
      <c r="F495" t="s">
        <v>5635</v>
      </c>
      <c r="G495" t="s">
        <v>74</v>
      </c>
      <c r="H495" t="s">
        <v>74</v>
      </c>
      <c r="I495" t="s">
        <v>5636</v>
      </c>
      <c r="J495" t="s">
        <v>3432</v>
      </c>
      <c r="K495" t="s">
        <v>74</v>
      </c>
      <c r="L495" t="s">
        <v>74</v>
      </c>
      <c r="M495" t="s">
        <v>78</v>
      </c>
      <c r="N495" t="s">
        <v>2737</v>
      </c>
      <c r="O495" t="s">
        <v>74</v>
      </c>
      <c r="P495" t="s">
        <v>74</v>
      </c>
      <c r="Q495" t="s">
        <v>74</v>
      </c>
      <c r="R495" t="s">
        <v>74</v>
      </c>
      <c r="S495" t="s">
        <v>74</v>
      </c>
      <c r="T495" t="s">
        <v>74</v>
      </c>
      <c r="U495" t="s">
        <v>5637</v>
      </c>
      <c r="V495" t="s">
        <v>5638</v>
      </c>
      <c r="W495" t="s">
        <v>5639</v>
      </c>
      <c r="X495" t="s">
        <v>5640</v>
      </c>
      <c r="Y495" t="s">
        <v>5641</v>
      </c>
      <c r="Z495" t="s">
        <v>5642</v>
      </c>
      <c r="AA495" t="s">
        <v>5643</v>
      </c>
      <c r="AB495" t="s">
        <v>5644</v>
      </c>
      <c r="AC495" t="s">
        <v>74</v>
      </c>
      <c r="AD495" t="s">
        <v>74</v>
      </c>
      <c r="AE495" t="s">
        <v>74</v>
      </c>
      <c r="AF495" t="s">
        <v>74</v>
      </c>
      <c r="AG495">
        <v>24</v>
      </c>
      <c r="AH495">
        <v>106</v>
      </c>
      <c r="AI495">
        <v>119</v>
      </c>
      <c r="AJ495">
        <v>0</v>
      </c>
      <c r="AK495">
        <v>23</v>
      </c>
      <c r="AL495" t="s">
        <v>3280</v>
      </c>
      <c r="AM495" t="s">
        <v>3281</v>
      </c>
      <c r="AN495" t="s">
        <v>3282</v>
      </c>
      <c r="AO495" t="s">
        <v>3439</v>
      </c>
      <c r="AP495" t="s">
        <v>3440</v>
      </c>
      <c r="AQ495" t="s">
        <v>74</v>
      </c>
      <c r="AR495" t="s">
        <v>3441</v>
      </c>
      <c r="AS495" t="s">
        <v>3442</v>
      </c>
      <c r="AT495" t="s">
        <v>5645</v>
      </c>
      <c r="AU495">
        <v>2008</v>
      </c>
      <c r="AV495">
        <v>113</v>
      </c>
      <c r="AW495" t="s">
        <v>5487</v>
      </c>
      <c r="AX495" t="s">
        <v>74</v>
      </c>
      <c r="AY495" t="s">
        <v>74</v>
      </c>
      <c r="AZ495" t="s">
        <v>74</v>
      </c>
      <c r="BA495" t="s">
        <v>74</v>
      </c>
      <c r="BB495" t="s">
        <v>74</v>
      </c>
      <c r="BC495" t="s">
        <v>74</v>
      </c>
      <c r="BD495" t="s">
        <v>5646</v>
      </c>
      <c r="BE495" t="s">
        <v>5647</v>
      </c>
      <c r="BF495" t="str">
        <f>HYPERLINK("http://dx.doi.org/10.1029/2007JC004158","http://dx.doi.org/10.1029/2007JC004158")</f>
        <v>http://dx.doi.org/10.1029/2007JC004158</v>
      </c>
      <c r="BG495" t="s">
        <v>74</v>
      </c>
      <c r="BH495" t="s">
        <v>74</v>
      </c>
      <c r="BI495">
        <v>13</v>
      </c>
      <c r="BJ495" t="s">
        <v>3447</v>
      </c>
      <c r="BK495" t="s">
        <v>419</v>
      </c>
      <c r="BL495" t="s">
        <v>3447</v>
      </c>
      <c r="BM495" t="s">
        <v>5648</v>
      </c>
      <c r="BN495" t="s">
        <v>74</v>
      </c>
      <c r="BO495" t="s">
        <v>4870</v>
      </c>
      <c r="BP495" t="s">
        <v>74</v>
      </c>
      <c r="BQ495" t="s">
        <v>74</v>
      </c>
      <c r="BR495" t="s">
        <v>101</v>
      </c>
      <c r="BS495" t="s">
        <v>5649</v>
      </c>
      <c r="BT495" t="str">
        <f>HYPERLINK("https%3A%2F%2Fwww.webofscience.com%2Fwos%2Fwoscc%2Ffull-record%2FWOS:000256062400001","View Full Record in Web of Science")</f>
        <v>View Full Record in Web of Science</v>
      </c>
    </row>
    <row r="496" spans="1:72" x14ac:dyDescent="0.15">
      <c r="A496" t="s">
        <v>72</v>
      </c>
      <c r="B496" t="s">
        <v>5650</v>
      </c>
      <c r="C496" t="s">
        <v>74</v>
      </c>
      <c r="D496" t="s">
        <v>74</v>
      </c>
      <c r="E496" t="s">
        <v>74</v>
      </c>
      <c r="F496" t="s">
        <v>5651</v>
      </c>
      <c r="G496" t="s">
        <v>74</v>
      </c>
      <c r="H496" t="s">
        <v>74</v>
      </c>
      <c r="I496" t="s">
        <v>5652</v>
      </c>
      <c r="J496" t="s">
        <v>3594</v>
      </c>
      <c r="K496" t="s">
        <v>74</v>
      </c>
      <c r="L496" t="s">
        <v>74</v>
      </c>
      <c r="M496" t="s">
        <v>78</v>
      </c>
      <c r="N496" t="s">
        <v>2737</v>
      </c>
      <c r="O496" t="s">
        <v>74</v>
      </c>
      <c r="P496" t="s">
        <v>74</v>
      </c>
      <c r="Q496" t="s">
        <v>74</v>
      </c>
      <c r="R496" t="s">
        <v>74</v>
      </c>
      <c r="S496" t="s">
        <v>74</v>
      </c>
      <c r="T496" t="s">
        <v>74</v>
      </c>
      <c r="U496" t="s">
        <v>5653</v>
      </c>
      <c r="V496" t="s">
        <v>5654</v>
      </c>
      <c r="W496" t="s">
        <v>5655</v>
      </c>
      <c r="X496" t="s">
        <v>5585</v>
      </c>
      <c r="Y496" t="s">
        <v>5656</v>
      </c>
      <c r="Z496" t="s">
        <v>5657</v>
      </c>
      <c r="AA496" t="s">
        <v>5658</v>
      </c>
      <c r="AB496" t="s">
        <v>5659</v>
      </c>
      <c r="AC496" t="s">
        <v>74</v>
      </c>
      <c r="AD496" t="s">
        <v>74</v>
      </c>
      <c r="AE496" t="s">
        <v>74</v>
      </c>
      <c r="AF496" t="s">
        <v>74</v>
      </c>
      <c r="AG496">
        <v>46</v>
      </c>
      <c r="AH496">
        <v>41</v>
      </c>
      <c r="AI496">
        <v>47</v>
      </c>
      <c r="AJ496">
        <v>1</v>
      </c>
      <c r="AK496">
        <v>20</v>
      </c>
      <c r="AL496" t="s">
        <v>3280</v>
      </c>
      <c r="AM496" t="s">
        <v>3281</v>
      </c>
      <c r="AN496" t="s">
        <v>3282</v>
      </c>
      <c r="AO496" t="s">
        <v>3605</v>
      </c>
      <c r="AP496" t="s">
        <v>3606</v>
      </c>
      <c r="AQ496" t="s">
        <v>74</v>
      </c>
      <c r="AR496" t="s">
        <v>3594</v>
      </c>
      <c r="AS496" t="s">
        <v>3607</v>
      </c>
      <c r="AT496" t="s">
        <v>5645</v>
      </c>
      <c r="AU496">
        <v>2008</v>
      </c>
      <c r="AV496">
        <v>23</v>
      </c>
      <c r="AW496">
        <v>2</v>
      </c>
      <c r="AX496" t="s">
        <v>74</v>
      </c>
      <c r="AY496" t="s">
        <v>74</v>
      </c>
      <c r="AZ496" t="s">
        <v>74</v>
      </c>
      <c r="BA496" t="s">
        <v>74</v>
      </c>
      <c r="BB496" t="s">
        <v>74</v>
      </c>
      <c r="BC496" t="s">
        <v>74</v>
      </c>
      <c r="BD496" t="s">
        <v>5660</v>
      </c>
      <c r="BE496" t="s">
        <v>5661</v>
      </c>
      <c r="BF496" t="str">
        <f>HYPERLINK("http://dx.doi.org/10.1029/2006PA001405","http://dx.doi.org/10.1029/2006PA001405")</f>
        <v>http://dx.doi.org/10.1029/2006PA001405</v>
      </c>
      <c r="BG496" t="s">
        <v>74</v>
      </c>
      <c r="BH496" t="s">
        <v>74</v>
      </c>
      <c r="BI496">
        <v>17</v>
      </c>
      <c r="BJ496" t="s">
        <v>3610</v>
      </c>
      <c r="BK496" t="s">
        <v>419</v>
      </c>
      <c r="BL496" t="s">
        <v>3611</v>
      </c>
      <c r="BM496" t="s">
        <v>5662</v>
      </c>
      <c r="BN496" t="s">
        <v>74</v>
      </c>
      <c r="BO496" t="s">
        <v>3290</v>
      </c>
      <c r="BP496" t="s">
        <v>74</v>
      </c>
      <c r="BQ496" t="s">
        <v>74</v>
      </c>
      <c r="BR496" t="s">
        <v>101</v>
      </c>
      <c r="BS496" t="s">
        <v>5663</v>
      </c>
      <c r="BT496" t="str">
        <f>HYPERLINK("https%3A%2F%2Fwww.webofscience.com%2Fwos%2Fwoscc%2Ffull-record%2FWOS:000256063800001","View Full Record in Web of Science")</f>
        <v>View Full Record in Web of Science</v>
      </c>
    </row>
    <row r="497" spans="1:72" x14ac:dyDescent="0.15">
      <c r="A497" t="s">
        <v>72</v>
      </c>
      <c r="B497" t="s">
        <v>5664</v>
      </c>
      <c r="C497" t="s">
        <v>74</v>
      </c>
      <c r="D497" t="s">
        <v>74</v>
      </c>
      <c r="E497" t="s">
        <v>74</v>
      </c>
      <c r="F497" t="s">
        <v>5665</v>
      </c>
      <c r="G497" t="s">
        <v>74</v>
      </c>
      <c r="H497" t="s">
        <v>74</v>
      </c>
      <c r="I497" t="s">
        <v>5666</v>
      </c>
      <c r="J497" t="s">
        <v>3248</v>
      </c>
      <c r="K497" t="s">
        <v>74</v>
      </c>
      <c r="L497" t="s">
        <v>74</v>
      </c>
      <c r="M497" t="s">
        <v>78</v>
      </c>
      <c r="N497" t="s">
        <v>2737</v>
      </c>
      <c r="O497" t="s">
        <v>74</v>
      </c>
      <c r="P497" t="s">
        <v>74</v>
      </c>
      <c r="Q497" t="s">
        <v>74</v>
      </c>
      <c r="R497" t="s">
        <v>74</v>
      </c>
      <c r="S497" t="s">
        <v>74</v>
      </c>
      <c r="T497" t="s">
        <v>5667</v>
      </c>
      <c r="U497" t="s">
        <v>5668</v>
      </c>
      <c r="V497" t="s">
        <v>5669</v>
      </c>
      <c r="W497" t="s">
        <v>5670</v>
      </c>
      <c r="X497" t="s">
        <v>5671</v>
      </c>
      <c r="Y497" t="s">
        <v>5672</v>
      </c>
      <c r="Z497" t="s">
        <v>5673</v>
      </c>
      <c r="AA497" t="s">
        <v>74</v>
      </c>
      <c r="AB497" t="s">
        <v>5674</v>
      </c>
      <c r="AC497" t="s">
        <v>74</v>
      </c>
      <c r="AD497" t="s">
        <v>74</v>
      </c>
      <c r="AE497" t="s">
        <v>74</v>
      </c>
      <c r="AF497" t="s">
        <v>74</v>
      </c>
      <c r="AG497">
        <v>46</v>
      </c>
      <c r="AH497">
        <v>18</v>
      </c>
      <c r="AI497">
        <v>18</v>
      </c>
      <c r="AJ497">
        <v>1</v>
      </c>
      <c r="AK497">
        <v>16</v>
      </c>
      <c r="AL497" t="s">
        <v>3933</v>
      </c>
      <c r="AM497" t="s">
        <v>3258</v>
      </c>
      <c r="AN497" t="s">
        <v>3934</v>
      </c>
      <c r="AO497" t="s">
        <v>3260</v>
      </c>
      <c r="AP497" t="s">
        <v>5435</v>
      </c>
      <c r="AQ497" t="s">
        <v>74</v>
      </c>
      <c r="AR497" t="s">
        <v>3261</v>
      </c>
      <c r="AS497" t="s">
        <v>3262</v>
      </c>
      <c r="AT497" t="s">
        <v>5675</v>
      </c>
      <c r="AU497">
        <v>2008</v>
      </c>
      <c r="AV497">
        <v>269</v>
      </c>
      <c r="AW497" t="s">
        <v>5676</v>
      </c>
      <c r="AX497" t="s">
        <v>74</v>
      </c>
      <c r="AY497" t="s">
        <v>74</v>
      </c>
      <c r="AZ497" t="s">
        <v>74</v>
      </c>
      <c r="BA497" t="s">
        <v>74</v>
      </c>
      <c r="BB497">
        <v>242</v>
      </c>
      <c r="BC497">
        <v>247</v>
      </c>
      <c r="BD497" t="s">
        <v>74</v>
      </c>
      <c r="BE497" t="s">
        <v>5677</v>
      </c>
      <c r="BF497" t="str">
        <f>HYPERLINK("http://dx.doi.org/10.1016/j.epsl.2008.02.023","http://dx.doi.org/10.1016/j.epsl.2008.02.023")</f>
        <v>http://dx.doi.org/10.1016/j.epsl.2008.02.023</v>
      </c>
      <c r="BG497" t="s">
        <v>74</v>
      </c>
      <c r="BH497" t="s">
        <v>74</v>
      </c>
      <c r="BI497">
        <v>6</v>
      </c>
      <c r="BJ497" t="s">
        <v>98</v>
      </c>
      <c r="BK497" t="s">
        <v>419</v>
      </c>
      <c r="BL497" t="s">
        <v>98</v>
      </c>
      <c r="BM497" t="s">
        <v>5678</v>
      </c>
      <c r="BN497" t="s">
        <v>74</v>
      </c>
      <c r="BO497" t="s">
        <v>3110</v>
      </c>
      <c r="BP497" t="s">
        <v>74</v>
      </c>
      <c r="BQ497" t="s">
        <v>74</v>
      </c>
      <c r="BR497" t="s">
        <v>101</v>
      </c>
      <c r="BS497" t="s">
        <v>5679</v>
      </c>
      <c r="BT497" t="str">
        <f>HYPERLINK("https%3A%2F%2Fwww.webofscience.com%2Fwos%2Fwoscc%2Ffull-record%2FWOS:000256705300021","View Full Record in Web of Science")</f>
        <v>View Full Record in Web of Science</v>
      </c>
    </row>
    <row r="498" spans="1:72" x14ac:dyDescent="0.15">
      <c r="A498" t="s">
        <v>72</v>
      </c>
      <c r="B498" t="s">
        <v>5680</v>
      </c>
      <c r="C498" t="s">
        <v>74</v>
      </c>
      <c r="D498" t="s">
        <v>74</v>
      </c>
      <c r="E498" t="s">
        <v>74</v>
      </c>
      <c r="F498" t="s">
        <v>5681</v>
      </c>
      <c r="G498" t="s">
        <v>74</v>
      </c>
      <c r="H498" t="s">
        <v>74</v>
      </c>
      <c r="I498" t="s">
        <v>5682</v>
      </c>
      <c r="J498" t="s">
        <v>3248</v>
      </c>
      <c r="K498" t="s">
        <v>74</v>
      </c>
      <c r="L498" t="s">
        <v>74</v>
      </c>
      <c r="M498" t="s">
        <v>78</v>
      </c>
      <c r="N498" t="s">
        <v>2737</v>
      </c>
      <c r="O498" t="s">
        <v>74</v>
      </c>
      <c r="P498" t="s">
        <v>74</v>
      </c>
      <c r="Q498" t="s">
        <v>74</v>
      </c>
      <c r="R498" t="s">
        <v>74</v>
      </c>
      <c r="S498" t="s">
        <v>74</v>
      </c>
      <c r="T498" t="s">
        <v>5683</v>
      </c>
      <c r="U498" t="s">
        <v>5684</v>
      </c>
      <c r="V498" t="s">
        <v>5685</v>
      </c>
      <c r="W498" t="s">
        <v>5686</v>
      </c>
      <c r="X498" t="s">
        <v>5687</v>
      </c>
      <c r="Y498" t="s">
        <v>5688</v>
      </c>
      <c r="Z498" t="s">
        <v>5689</v>
      </c>
      <c r="AA498" t="s">
        <v>74</v>
      </c>
      <c r="AB498" t="s">
        <v>74</v>
      </c>
      <c r="AC498" t="s">
        <v>74</v>
      </c>
      <c r="AD498" t="s">
        <v>74</v>
      </c>
      <c r="AE498" t="s">
        <v>74</v>
      </c>
      <c r="AF498" t="s">
        <v>74</v>
      </c>
      <c r="AG498">
        <v>66</v>
      </c>
      <c r="AH498">
        <v>15</v>
      </c>
      <c r="AI498">
        <v>16</v>
      </c>
      <c r="AJ498">
        <v>0</v>
      </c>
      <c r="AK498">
        <v>4</v>
      </c>
      <c r="AL498" t="s">
        <v>3933</v>
      </c>
      <c r="AM498" t="s">
        <v>3258</v>
      </c>
      <c r="AN498" t="s">
        <v>3934</v>
      </c>
      <c r="AO498" t="s">
        <v>3260</v>
      </c>
      <c r="AP498" t="s">
        <v>5435</v>
      </c>
      <c r="AQ498" t="s">
        <v>74</v>
      </c>
      <c r="AR498" t="s">
        <v>3261</v>
      </c>
      <c r="AS498" t="s">
        <v>3262</v>
      </c>
      <c r="AT498" t="s">
        <v>5675</v>
      </c>
      <c r="AU498">
        <v>2008</v>
      </c>
      <c r="AV498">
        <v>269</v>
      </c>
      <c r="AW498" t="s">
        <v>5676</v>
      </c>
      <c r="AX498" t="s">
        <v>74</v>
      </c>
      <c r="AY498" t="s">
        <v>74</v>
      </c>
      <c r="AZ498" t="s">
        <v>74</v>
      </c>
      <c r="BA498" t="s">
        <v>74</v>
      </c>
      <c r="BB498">
        <v>259</v>
      </c>
      <c r="BC498">
        <v>270</v>
      </c>
      <c r="BD498" t="s">
        <v>74</v>
      </c>
      <c r="BE498" t="s">
        <v>5690</v>
      </c>
      <c r="BF498" t="str">
        <f>HYPERLINK("http://dx.doi.org/10.1016/j.epsl.2008.02.025","http://dx.doi.org/10.1016/j.epsl.2008.02.025")</f>
        <v>http://dx.doi.org/10.1016/j.epsl.2008.02.025</v>
      </c>
      <c r="BG498" t="s">
        <v>74</v>
      </c>
      <c r="BH498" t="s">
        <v>74</v>
      </c>
      <c r="BI498">
        <v>12</v>
      </c>
      <c r="BJ498" t="s">
        <v>98</v>
      </c>
      <c r="BK498" t="s">
        <v>419</v>
      </c>
      <c r="BL498" t="s">
        <v>98</v>
      </c>
      <c r="BM498" t="s">
        <v>5678</v>
      </c>
      <c r="BN498" t="s">
        <v>74</v>
      </c>
      <c r="BO498" t="s">
        <v>74</v>
      </c>
      <c r="BP498" t="s">
        <v>74</v>
      </c>
      <c r="BQ498" t="s">
        <v>74</v>
      </c>
      <c r="BR498" t="s">
        <v>101</v>
      </c>
      <c r="BS498" t="s">
        <v>5691</v>
      </c>
      <c r="BT498" t="str">
        <f>HYPERLINK("https%3A%2F%2Fwww.webofscience.com%2Fwos%2Fwoscc%2Ffull-record%2FWOS:000256705300023","View Full Record in Web of Science")</f>
        <v>View Full Record in Web of Science</v>
      </c>
    </row>
    <row r="499" spans="1:72" x14ac:dyDescent="0.15">
      <c r="A499" t="s">
        <v>72</v>
      </c>
      <c r="B499" t="s">
        <v>5692</v>
      </c>
      <c r="C499" t="s">
        <v>74</v>
      </c>
      <c r="D499" t="s">
        <v>74</v>
      </c>
      <c r="E499" t="s">
        <v>74</v>
      </c>
      <c r="F499" t="s">
        <v>5693</v>
      </c>
      <c r="G499" t="s">
        <v>74</v>
      </c>
      <c r="H499" t="s">
        <v>74</v>
      </c>
      <c r="I499" t="s">
        <v>5694</v>
      </c>
      <c r="J499" t="s">
        <v>3295</v>
      </c>
      <c r="K499" t="s">
        <v>74</v>
      </c>
      <c r="L499" t="s">
        <v>74</v>
      </c>
      <c r="M499" t="s">
        <v>78</v>
      </c>
      <c r="N499" t="s">
        <v>5695</v>
      </c>
      <c r="O499" t="s">
        <v>74</v>
      </c>
      <c r="P499" t="s">
        <v>74</v>
      </c>
      <c r="Q499" t="s">
        <v>74</v>
      </c>
      <c r="R499" t="s">
        <v>74</v>
      </c>
      <c r="S499" t="s">
        <v>74</v>
      </c>
      <c r="T499" t="s">
        <v>74</v>
      </c>
      <c r="U499" t="s">
        <v>74</v>
      </c>
      <c r="V499" t="s">
        <v>74</v>
      </c>
      <c r="W499" t="s">
        <v>74</v>
      </c>
      <c r="X499" t="s">
        <v>74</v>
      </c>
      <c r="Y499" t="s">
        <v>74</v>
      </c>
      <c r="Z499" t="s">
        <v>74</v>
      </c>
      <c r="AA499" t="s">
        <v>5696</v>
      </c>
      <c r="AB499" t="s">
        <v>5697</v>
      </c>
      <c r="AC499" t="s">
        <v>74</v>
      </c>
      <c r="AD499" t="s">
        <v>74</v>
      </c>
      <c r="AE499" t="s">
        <v>74</v>
      </c>
      <c r="AF499" t="s">
        <v>74</v>
      </c>
      <c r="AG499">
        <v>1</v>
      </c>
      <c r="AH499">
        <v>0</v>
      </c>
      <c r="AI499">
        <v>0</v>
      </c>
      <c r="AJ499">
        <v>0</v>
      </c>
      <c r="AK499">
        <v>11</v>
      </c>
      <c r="AL499" t="s">
        <v>3280</v>
      </c>
      <c r="AM499" t="s">
        <v>3281</v>
      </c>
      <c r="AN499" t="s">
        <v>3282</v>
      </c>
      <c r="AO499" t="s">
        <v>3304</v>
      </c>
      <c r="AP499" t="s">
        <v>74</v>
      </c>
      <c r="AQ499" t="s">
        <v>74</v>
      </c>
      <c r="AR499" t="s">
        <v>3306</v>
      </c>
      <c r="AS499" t="s">
        <v>3307</v>
      </c>
      <c r="AT499" t="s">
        <v>5675</v>
      </c>
      <c r="AU499">
        <v>2008</v>
      </c>
      <c r="AV499">
        <v>35</v>
      </c>
      <c r="AW499">
        <v>9</v>
      </c>
      <c r="AX499" t="s">
        <v>74</v>
      </c>
      <c r="AY499" t="s">
        <v>74</v>
      </c>
      <c r="AZ499" t="s">
        <v>74</v>
      </c>
      <c r="BA499" t="s">
        <v>74</v>
      </c>
      <c r="BB499" t="s">
        <v>74</v>
      </c>
      <c r="BC499" t="s">
        <v>74</v>
      </c>
      <c r="BD499" t="s">
        <v>5698</v>
      </c>
      <c r="BE499" t="s">
        <v>5699</v>
      </c>
      <c r="BF499" t="str">
        <f>HYPERLINK("http://dx.doi.org/10.1029/2008GL034295","http://dx.doi.org/10.1029/2008GL034295")</f>
        <v>http://dx.doi.org/10.1029/2008GL034295</v>
      </c>
      <c r="BG499" t="s">
        <v>74</v>
      </c>
      <c r="BH499" t="s">
        <v>74</v>
      </c>
      <c r="BI499">
        <v>1</v>
      </c>
      <c r="BJ499" t="s">
        <v>3093</v>
      </c>
      <c r="BK499" t="s">
        <v>419</v>
      </c>
      <c r="BL499" t="s">
        <v>3094</v>
      </c>
      <c r="BM499" t="s">
        <v>5700</v>
      </c>
      <c r="BN499" t="s">
        <v>74</v>
      </c>
      <c r="BO499" t="s">
        <v>74</v>
      </c>
      <c r="BP499" t="s">
        <v>74</v>
      </c>
      <c r="BQ499" t="s">
        <v>74</v>
      </c>
      <c r="BR499" t="s">
        <v>101</v>
      </c>
      <c r="BS499" t="s">
        <v>5701</v>
      </c>
      <c r="BT499" t="str">
        <f>HYPERLINK("https%3A%2F%2Fwww.webofscience.com%2Fwos%2Fwoscc%2Ffull-record%2FWOS:000256060300007","View Full Record in Web of Science")</f>
        <v>View Full Record in Web of Science</v>
      </c>
    </row>
    <row r="500" spans="1:72" x14ac:dyDescent="0.15">
      <c r="A500" t="s">
        <v>72</v>
      </c>
      <c r="B500" t="s">
        <v>5702</v>
      </c>
      <c r="C500" t="s">
        <v>74</v>
      </c>
      <c r="D500" t="s">
        <v>74</v>
      </c>
      <c r="E500" t="s">
        <v>74</v>
      </c>
      <c r="F500" t="s">
        <v>5703</v>
      </c>
      <c r="G500" t="s">
        <v>74</v>
      </c>
      <c r="H500" t="s">
        <v>74</v>
      </c>
      <c r="I500" t="s">
        <v>5704</v>
      </c>
      <c r="J500" t="s">
        <v>3540</v>
      </c>
      <c r="K500" t="s">
        <v>74</v>
      </c>
      <c r="L500" t="s">
        <v>74</v>
      </c>
      <c r="M500" t="s">
        <v>78</v>
      </c>
      <c r="N500" t="s">
        <v>2737</v>
      </c>
      <c r="O500" t="s">
        <v>74</v>
      </c>
      <c r="P500" t="s">
        <v>74</v>
      </c>
      <c r="Q500" t="s">
        <v>74</v>
      </c>
      <c r="R500" t="s">
        <v>74</v>
      </c>
      <c r="S500" t="s">
        <v>74</v>
      </c>
      <c r="T500" t="s">
        <v>74</v>
      </c>
      <c r="U500" t="s">
        <v>5705</v>
      </c>
      <c r="V500" t="s">
        <v>5706</v>
      </c>
      <c r="W500" t="s">
        <v>5707</v>
      </c>
      <c r="X500" t="s">
        <v>5708</v>
      </c>
      <c r="Y500" t="s">
        <v>5709</v>
      </c>
      <c r="Z500" t="s">
        <v>5710</v>
      </c>
      <c r="AA500" t="s">
        <v>5711</v>
      </c>
      <c r="AB500" t="s">
        <v>5712</v>
      </c>
      <c r="AC500" t="s">
        <v>74</v>
      </c>
      <c r="AD500" t="s">
        <v>74</v>
      </c>
      <c r="AE500" t="s">
        <v>74</v>
      </c>
      <c r="AF500" t="s">
        <v>74</v>
      </c>
      <c r="AG500">
        <v>26</v>
      </c>
      <c r="AH500">
        <v>1410</v>
      </c>
      <c r="AI500">
        <v>1757</v>
      </c>
      <c r="AJ500">
        <v>88</v>
      </c>
      <c r="AK500">
        <v>629</v>
      </c>
      <c r="AL500" t="s">
        <v>3549</v>
      </c>
      <c r="AM500" t="s">
        <v>3550</v>
      </c>
      <c r="AN500" t="s">
        <v>3551</v>
      </c>
      <c r="AO500" t="s">
        <v>3552</v>
      </c>
      <c r="AP500" t="s">
        <v>3553</v>
      </c>
      <c r="AQ500" t="s">
        <v>74</v>
      </c>
      <c r="AR500" t="s">
        <v>3540</v>
      </c>
      <c r="AS500" t="s">
        <v>3554</v>
      </c>
      <c r="AT500" t="s">
        <v>5675</v>
      </c>
      <c r="AU500">
        <v>2008</v>
      </c>
      <c r="AV500">
        <v>453</v>
      </c>
      <c r="AW500">
        <v>7193</v>
      </c>
      <c r="AX500" t="s">
        <v>74</v>
      </c>
      <c r="AY500" t="s">
        <v>74</v>
      </c>
      <c r="AZ500" t="s">
        <v>74</v>
      </c>
      <c r="BA500" t="s">
        <v>74</v>
      </c>
      <c r="BB500">
        <v>379</v>
      </c>
      <c r="BC500">
        <v>382</v>
      </c>
      <c r="BD500" t="s">
        <v>74</v>
      </c>
      <c r="BE500" t="s">
        <v>5713</v>
      </c>
      <c r="BF500" t="str">
        <f>HYPERLINK("http://dx.doi.org/10.1038/nature06949","http://dx.doi.org/10.1038/nature06949")</f>
        <v>http://dx.doi.org/10.1038/nature06949</v>
      </c>
      <c r="BG500" t="s">
        <v>74</v>
      </c>
      <c r="BH500" t="s">
        <v>74</v>
      </c>
      <c r="BI500">
        <v>4</v>
      </c>
      <c r="BJ500" t="s">
        <v>3123</v>
      </c>
      <c r="BK500" t="s">
        <v>419</v>
      </c>
      <c r="BL500" t="s">
        <v>3124</v>
      </c>
      <c r="BM500" t="s">
        <v>5714</v>
      </c>
      <c r="BN500">
        <v>18480821</v>
      </c>
      <c r="BO500" t="s">
        <v>3359</v>
      </c>
      <c r="BP500" t="s">
        <v>74</v>
      </c>
      <c r="BQ500" t="s">
        <v>74</v>
      </c>
      <c r="BR500" t="s">
        <v>101</v>
      </c>
      <c r="BS500" t="s">
        <v>5715</v>
      </c>
      <c r="BT500" t="str">
        <f>HYPERLINK("https%3A%2F%2Fwww.webofscience.com%2Fwos%2Fwoscc%2Ffull-record%2FWOS:000255868400049","View Full Record in Web of Science")</f>
        <v>View Full Record in Web of Science</v>
      </c>
    </row>
    <row r="501" spans="1:72" x14ac:dyDescent="0.15">
      <c r="A501" t="s">
        <v>72</v>
      </c>
      <c r="B501" t="s">
        <v>5716</v>
      </c>
      <c r="C501" t="s">
        <v>74</v>
      </c>
      <c r="D501" t="s">
        <v>74</v>
      </c>
      <c r="E501" t="s">
        <v>74</v>
      </c>
      <c r="F501" t="s">
        <v>5717</v>
      </c>
      <c r="G501" t="s">
        <v>74</v>
      </c>
      <c r="H501" t="s">
        <v>74</v>
      </c>
      <c r="I501" t="s">
        <v>5718</v>
      </c>
      <c r="J501" t="s">
        <v>3540</v>
      </c>
      <c r="K501" t="s">
        <v>74</v>
      </c>
      <c r="L501" t="s">
        <v>74</v>
      </c>
      <c r="M501" t="s">
        <v>78</v>
      </c>
      <c r="N501" t="s">
        <v>2737</v>
      </c>
      <c r="O501" t="s">
        <v>74</v>
      </c>
      <c r="P501" t="s">
        <v>74</v>
      </c>
      <c r="Q501" t="s">
        <v>74</v>
      </c>
      <c r="R501" t="s">
        <v>74</v>
      </c>
      <c r="S501" t="s">
        <v>74</v>
      </c>
      <c r="T501" t="s">
        <v>74</v>
      </c>
      <c r="U501" t="s">
        <v>5719</v>
      </c>
      <c r="V501" t="s">
        <v>5720</v>
      </c>
      <c r="W501" t="s">
        <v>5721</v>
      </c>
      <c r="X501" t="s">
        <v>5722</v>
      </c>
      <c r="Y501" t="s">
        <v>5723</v>
      </c>
      <c r="Z501" t="s">
        <v>5724</v>
      </c>
      <c r="AA501" t="s">
        <v>5725</v>
      </c>
      <c r="AB501" t="s">
        <v>5726</v>
      </c>
      <c r="AC501" t="s">
        <v>74</v>
      </c>
      <c r="AD501" t="s">
        <v>74</v>
      </c>
      <c r="AE501" t="s">
        <v>74</v>
      </c>
      <c r="AF501" t="s">
        <v>74</v>
      </c>
      <c r="AG501">
        <v>27</v>
      </c>
      <c r="AH501">
        <v>665</v>
      </c>
      <c r="AI501">
        <v>771</v>
      </c>
      <c r="AJ501">
        <v>12</v>
      </c>
      <c r="AK501">
        <v>268</v>
      </c>
      <c r="AL501" t="s">
        <v>3549</v>
      </c>
      <c r="AM501" t="s">
        <v>3550</v>
      </c>
      <c r="AN501" t="s">
        <v>3551</v>
      </c>
      <c r="AO501" t="s">
        <v>3552</v>
      </c>
      <c r="AP501" t="s">
        <v>3553</v>
      </c>
      <c r="AQ501" t="s">
        <v>74</v>
      </c>
      <c r="AR501" t="s">
        <v>3540</v>
      </c>
      <c r="AS501" t="s">
        <v>3554</v>
      </c>
      <c r="AT501" t="s">
        <v>5675</v>
      </c>
      <c r="AU501">
        <v>2008</v>
      </c>
      <c r="AV501">
        <v>453</v>
      </c>
      <c r="AW501">
        <v>7193</v>
      </c>
      <c r="AX501" t="s">
        <v>74</v>
      </c>
      <c r="AY501" t="s">
        <v>74</v>
      </c>
      <c r="AZ501" t="s">
        <v>74</v>
      </c>
      <c r="BA501" t="s">
        <v>74</v>
      </c>
      <c r="BB501">
        <v>383</v>
      </c>
      <c r="BC501">
        <v>386</v>
      </c>
      <c r="BD501" t="s">
        <v>74</v>
      </c>
      <c r="BE501" t="s">
        <v>5727</v>
      </c>
      <c r="BF501" t="str">
        <f>HYPERLINK("http://dx.doi.org/10.1038/nature06950","http://dx.doi.org/10.1038/nature06950")</f>
        <v>http://dx.doi.org/10.1038/nature06950</v>
      </c>
      <c r="BG501" t="s">
        <v>74</v>
      </c>
      <c r="BH501" t="s">
        <v>74</v>
      </c>
      <c r="BI501">
        <v>4</v>
      </c>
      <c r="BJ501" t="s">
        <v>3123</v>
      </c>
      <c r="BK501" t="s">
        <v>419</v>
      </c>
      <c r="BL501" t="s">
        <v>3124</v>
      </c>
      <c r="BM501" t="s">
        <v>5714</v>
      </c>
      <c r="BN501">
        <v>18480822</v>
      </c>
      <c r="BO501" t="s">
        <v>3290</v>
      </c>
      <c r="BP501" t="s">
        <v>74</v>
      </c>
      <c r="BQ501" t="s">
        <v>74</v>
      </c>
      <c r="BR501" t="s">
        <v>101</v>
      </c>
      <c r="BS501" t="s">
        <v>5728</v>
      </c>
      <c r="BT501" t="str">
        <f>HYPERLINK("https%3A%2F%2Fwww.webofscience.com%2Fwos%2Fwoscc%2Ffull-record%2FWOS:000255868400050","View Full Record in Web of Science")</f>
        <v>View Full Record in Web of Science</v>
      </c>
    </row>
    <row r="502" spans="1:72" x14ac:dyDescent="0.15">
      <c r="A502" t="s">
        <v>72</v>
      </c>
      <c r="B502" t="s">
        <v>5729</v>
      </c>
      <c r="C502" t="s">
        <v>74</v>
      </c>
      <c r="D502" t="s">
        <v>74</v>
      </c>
      <c r="E502" t="s">
        <v>74</v>
      </c>
      <c r="F502" t="s">
        <v>5730</v>
      </c>
      <c r="G502" t="s">
        <v>74</v>
      </c>
      <c r="H502" t="s">
        <v>74</v>
      </c>
      <c r="I502" t="s">
        <v>5731</v>
      </c>
      <c r="J502" t="s">
        <v>3432</v>
      </c>
      <c r="K502" t="s">
        <v>74</v>
      </c>
      <c r="L502" t="s">
        <v>74</v>
      </c>
      <c r="M502" t="s">
        <v>78</v>
      </c>
      <c r="N502" t="s">
        <v>2737</v>
      </c>
      <c r="O502" t="s">
        <v>74</v>
      </c>
      <c r="P502" t="s">
        <v>74</v>
      </c>
      <c r="Q502" t="s">
        <v>74</v>
      </c>
      <c r="R502" t="s">
        <v>74</v>
      </c>
      <c r="S502" t="s">
        <v>74</v>
      </c>
      <c r="T502" t="s">
        <v>74</v>
      </c>
      <c r="U502" t="s">
        <v>5732</v>
      </c>
      <c r="V502" t="s">
        <v>5733</v>
      </c>
      <c r="W502" t="s">
        <v>5734</v>
      </c>
      <c r="X502" t="s">
        <v>5671</v>
      </c>
      <c r="Y502" t="s">
        <v>5735</v>
      </c>
      <c r="Z502" t="s">
        <v>5736</v>
      </c>
      <c r="AA502" t="s">
        <v>5737</v>
      </c>
      <c r="AB502" t="s">
        <v>5738</v>
      </c>
      <c r="AC502" t="s">
        <v>74</v>
      </c>
      <c r="AD502" t="s">
        <v>74</v>
      </c>
      <c r="AE502" t="s">
        <v>74</v>
      </c>
      <c r="AF502" t="s">
        <v>74</v>
      </c>
      <c r="AG502">
        <v>42</v>
      </c>
      <c r="AH502">
        <v>32</v>
      </c>
      <c r="AI502">
        <v>33</v>
      </c>
      <c r="AJ502">
        <v>1</v>
      </c>
      <c r="AK502">
        <v>9</v>
      </c>
      <c r="AL502" t="s">
        <v>3280</v>
      </c>
      <c r="AM502" t="s">
        <v>3281</v>
      </c>
      <c r="AN502" t="s">
        <v>3282</v>
      </c>
      <c r="AO502" t="s">
        <v>3439</v>
      </c>
      <c r="AP502" t="s">
        <v>3440</v>
      </c>
      <c r="AQ502" t="s">
        <v>74</v>
      </c>
      <c r="AR502" t="s">
        <v>3441</v>
      </c>
      <c r="AS502" t="s">
        <v>3442</v>
      </c>
      <c r="AT502" t="s">
        <v>5739</v>
      </c>
      <c r="AU502">
        <v>2008</v>
      </c>
      <c r="AV502">
        <v>113</v>
      </c>
      <c r="AW502" t="s">
        <v>5487</v>
      </c>
      <c r="AX502" t="s">
        <v>74</v>
      </c>
      <c r="AY502" t="s">
        <v>74</v>
      </c>
      <c r="AZ502" t="s">
        <v>74</v>
      </c>
      <c r="BA502" t="s">
        <v>74</v>
      </c>
      <c r="BB502" t="s">
        <v>74</v>
      </c>
      <c r="BC502" t="s">
        <v>74</v>
      </c>
      <c r="BD502" t="s">
        <v>5740</v>
      </c>
      <c r="BE502" t="s">
        <v>5741</v>
      </c>
      <c r="BF502" t="str">
        <f>HYPERLINK("http://dx.doi.org/10.1029/2007JC004372","http://dx.doi.org/10.1029/2007JC004372")</f>
        <v>http://dx.doi.org/10.1029/2007JC004372</v>
      </c>
      <c r="BG502" t="s">
        <v>74</v>
      </c>
      <c r="BH502" t="s">
        <v>74</v>
      </c>
      <c r="BI502">
        <v>19</v>
      </c>
      <c r="BJ502" t="s">
        <v>3447</v>
      </c>
      <c r="BK502" t="s">
        <v>419</v>
      </c>
      <c r="BL502" t="s">
        <v>3447</v>
      </c>
      <c r="BM502" t="s">
        <v>5742</v>
      </c>
      <c r="BN502" t="s">
        <v>74</v>
      </c>
      <c r="BO502" t="s">
        <v>3589</v>
      </c>
      <c r="BP502" t="s">
        <v>74</v>
      </c>
      <c r="BQ502" t="s">
        <v>74</v>
      </c>
      <c r="BR502" t="s">
        <v>101</v>
      </c>
      <c r="BS502" t="s">
        <v>5743</v>
      </c>
      <c r="BT502" t="str">
        <f>HYPERLINK("https%3A%2F%2Fwww.webofscience.com%2Fwos%2Fwoscc%2Ffull-record%2FWOS:000256062100002","View Full Record in Web of Science")</f>
        <v>View Full Record in Web of Science</v>
      </c>
    </row>
    <row r="503" spans="1:72" x14ac:dyDescent="0.15">
      <c r="A503" t="s">
        <v>72</v>
      </c>
      <c r="B503" t="s">
        <v>5744</v>
      </c>
      <c r="C503" t="s">
        <v>74</v>
      </c>
      <c r="D503" t="s">
        <v>74</v>
      </c>
      <c r="E503" t="s">
        <v>74</v>
      </c>
      <c r="F503" t="s">
        <v>5744</v>
      </c>
      <c r="G503" t="s">
        <v>74</v>
      </c>
      <c r="H503" t="s">
        <v>74</v>
      </c>
      <c r="I503" t="s">
        <v>5745</v>
      </c>
      <c r="J503" t="s">
        <v>5746</v>
      </c>
      <c r="K503" t="s">
        <v>74</v>
      </c>
      <c r="L503" t="s">
        <v>74</v>
      </c>
      <c r="M503" t="s">
        <v>78</v>
      </c>
      <c r="N503" t="s">
        <v>3116</v>
      </c>
      <c r="O503" t="s">
        <v>74</v>
      </c>
      <c r="P503" t="s">
        <v>74</v>
      </c>
      <c r="Q503" t="s">
        <v>74</v>
      </c>
      <c r="R503" t="s">
        <v>74</v>
      </c>
      <c r="S503" t="s">
        <v>74</v>
      </c>
      <c r="T503" t="s">
        <v>74</v>
      </c>
      <c r="U503" t="s">
        <v>74</v>
      </c>
      <c r="V503" t="s">
        <v>5747</v>
      </c>
      <c r="W503" t="s">
        <v>74</v>
      </c>
      <c r="X503" t="s">
        <v>74</v>
      </c>
      <c r="Y503" t="s">
        <v>74</v>
      </c>
      <c r="Z503" t="s">
        <v>74</v>
      </c>
      <c r="AA503" t="s">
        <v>74</v>
      </c>
      <c r="AB503" t="s">
        <v>74</v>
      </c>
      <c r="AC503" t="s">
        <v>74</v>
      </c>
      <c r="AD503" t="s">
        <v>74</v>
      </c>
      <c r="AE503" t="s">
        <v>74</v>
      </c>
      <c r="AF503" t="s">
        <v>74</v>
      </c>
      <c r="AG503">
        <v>0</v>
      </c>
      <c r="AH503">
        <v>0</v>
      </c>
      <c r="AI503">
        <v>0</v>
      </c>
      <c r="AJ503">
        <v>0</v>
      </c>
      <c r="AK503">
        <v>2</v>
      </c>
      <c r="AL503" t="s">
        <v>4064</v>
      </c>
      <c r="AM503" t="s">
        <v>3281</v>
      </c>
      <c r="AN503" t="s">
        <v>4065</v>
      </c>
      <c r="AO503" t="s">
        <v>5748</v>
      </c>
      <c r="AP503" t="s">
        <v>74</v>
      </c>
      <c r="AQ503" t="s">
        <v>74</v>
      </c>
      <c r="AR503" t="s">
        <v>5749</v>
      </c>
      <c r="AS503" t="s">
        <v>5750</v>
      </c>
      <c r="AT503" t="s">
        <v>5751</v>
      </c>
      <c r="AU503">
        <v>2008</v>
      </c>
      <c r="AV503">
        <v>86</v>
      </c>
      <c r="AW503">
        <v>19</v>
      </c>
      <c r="AX503" t="s">
        <v>74</v>
      </c>
      <c r="AY503" t="s">
        <v>74</v>
      </c>
      <c r="AZ503" t="s">
        <v>74</v>
      </c>
      <c r="BA503" t="s">
        <v>74</v>
      </c>
      <c r="BB503">
        <v>36</v>
      </c>
      <c r="BC503">
        <v>36</v>
      </c>
      <c r="BD503" t="s">
        <v>74</v>
      </c>
      <c r="BE503" t="s">
        <v>74</v>
      </c>
      <c r="BF503" t="s">
        <v>74</v>
      </c>
      <c r="BG503" t="s">
        <v>74</v>
      </c>
      <c r="BH503" t="s">
        <v>74</v>
      </c>
      <c r="BI503">
        <v>1</v>
      </c>
      <c r="BJ503" t="s">
        <v>5752</v>
      </c>
      <c r="BK503" t="s">
        <v>419</v>
      </c>
      <c r="BL503" t="s">
        <v>5753</v>
      </c>
      <c r="BM503" t="s">
        <v>5754</v>
      </c>
      <c r="BN503" t="s">
        <v>74</v>
      </c>
      <c r="BO503" t="s">
        <v>74</v>
      </c>
      <c r="BP503" t="s">
        <v>74</v>
      </c>
      <c r="BQ503" t="s">
        <v>74</v>
      </c>
      <c r="BR503" t="s">
        <v>101</v>
      </c>
      <c r="BS503" t="s">
        <v>5755</v>
      </c>
      <c r="BT503" t="str">
        <f>HYPERLINK("https%3A%2F%2Fwww.webofscience.com%2Fwos%2Fwoscc%2Ffull-record%2FWOS:000255844400043","View Full Record in Web of Science")</f>
        <v>View Full Record in Web of Science</v>
      </c>
    </row>
    <row r="504" spans="1:72" x14ac:dyDescent="0.15">
      <c r="A504" t="s">
        <v>72</v>
      </c>
      <c r="B504" t="s">
        <v>5756</v>
      </c>
      <c r="C504" t="s">
        <v>74</v>
      </c>
      <c r="D504" t="s">
        <v>74</v>
      </c>
      <c r="E504" t="s">
        <v>74</v>
      </c>
      <c r="F504" t="s">
        <v>5757</v>
      </c>
      <c r="G504" t="s">
        <v>74</v>
      </c>
      <c r="H504" t="s">
        <v>74</v>
      </c>
      <c r="I504" t="s">
        <v>5758</v>
      </c>
      <c r="J504" t="s">
        <v>3295</v>
      </c>
      <c r="K504" t="s">
        <v>74</v>
      </c>
      <c r="L504" t="s">
        <v>74</v>
      </c>
      <c r="M504" t="s">
        <v>78</v>
      </c>
      <c r="N504" t="s">
        <v>2737</v>
      </c>
      <c r="O504" t="s">
        <v>74</v>
      </c>
      <c r="P504" t="s">
        <v>74</v>
      </c>
      <c r="Q504" t="s">
        <v>74</v>
      </c>
      <c r="R504" t="s">
        <v>74</v>
      </c>
      <c r="S504" t="s">
        <v>74</v>
      </c>
      <c r="T504" t="s">
        <v>74</v>
      </c>
      <c r="U504" t="s">
        <v>5759</v>
      </c>
      <c r="V504" t="s">
        <v>5760</v>
      </c>
      <c r="W504" t="s">
        <v>5761</v>
      </c>
      <c r="X504" t="s">
        <v>5380</v>
      </c>
      <c r="Y504" t="s">
        <v>5762</v>
      </c>
      <c r="Z504" t="s">
        <v>5382</v>
      </c>
      <c r="AA504" t="s">
        <v>74</v>
      </c>
      <c r="AB504" t="s">
        <v>74</v>
      </c>
      <c r="AC504" t="s">
        <v>74</v>
      </c>
      <c r="AD504" t="s">
        <v>74</v>
      </c>
      <c r="AE504" t="s">
        <v>74</v>
      </c>
      <c r="AF504" t="s">
        <v>74</v>
      </c>
      <c r="AG504">
        <v>14</v>
      </c>
      <c r="AH504">
        <v>30</v>
      </c>
      <c r="AI504">
        <v>37</v>
      </c>
      <c r="AJ504">
        <v>3</v>
      </c>
      <c r="AK504">
        <v>26</v>
      </c>
      <c r="AL504" t="s">
        <v>3280</v>
      </c>
      <c r="AM504" t="s">
        <v>3281</v>
      </c>
      <c r="AN504" t="s">
        <v>3282</v>
      </c>
      <c r="AO504" t="s">
        <v>3304</v>
      </c>
      <c r="AP504" t="s">
        <v>3305</v>
      </c>
      <c r="AQ504" t="s">
        <v>74</v>
      </c>
      <c r="AR504" t="s">
        <v>3306</v>
      </c>
      <c r="AS504" t="s">
        <v>3307</v>
      </c>
      <c r="AT504" t="s">
        <v>5763</v>
      </c>
      <c r="AU504">
        <v>2008</v>
      </c>
      <c r="AV504">
        <v>35</v>
      </c>
      <c r="AW504">
        <v>9</v>
      </c>
      <c r="AX504" t="s">
        <v>74</v>
      </c>
      <c r="AY504" t="s">
        <v>74</v>
      </c>
      <c r="AZ504" t="s">
        <v>74</v>
      </c>
      <c r="BA504" t="s">
        <v>74</v>
      </c>
      <c r="BB504" t="s">
        <v>74</v>
      </c>
      <c r="BC504" t="s">
        <v>74</v>
      </c>
      <c r="BD504" t="s">
        <v>5764</v>
      </c>
      <c r="BE504" t="s">
        <v>5765</v>
      </c>
      <c r="BF504" t="str">
        <f>HYPERLINK("http://dx.doi.org/10.1029/2007GL032541","http://dx.doi.org/10.1029/2007GL032541")</f>
        <v>http://dx.doi.org/10.1029/2007GL032541</v>
      </c>
      <c r="BG504" t="s">
        <v>74</v>
      </c>
      <c r="BH504" t="s">
        <v>74</v>
      </c>
      <c r="BI504">
        <v>5</v>
      </c>
      <c r="BJ504" t="s">
        <v>3093</v>
      </c>
      <c r="BK504" t="s">
        <v>419</v>
      </c>
      <c r="BL504" t="s">
        <v>3094</v>
      </c>
      <c r="BM504" t="s">
        <v>5766</v>
      </c>
      <c r="BN504" t="s">
        <v>74</v>
      </c>
      <c r="BO504" t="s">
        <v>3290</v>
      </c>
      <c r="BP504" t="s">
        <v>74</v>
      </c>
      <c r="BQ504" t="s">
        <v>74</v>
      </c>
      <c r="BR504" t="s">
        <v>101</v>
      </c>
      <c r="BS504" t="s">
        <v>5767</v>
      </c>
      <c r="BT504" t="str">
        <f>HYPERLINK("https%3A%2F%2Fwww.webofscience.com%2Fwos%2Fwoscc%2Ffull-record%2FWOS:000255825400002","View Full Record in Web of Science")</f>
        <v>View Full Record in Web of Science</v>
      </c>
    </row>
    <row r="505" spans="1:72" x14ac:dyDescent="0.15">
      <c r="A505" t="s">
        <v>72</v>
      </c>
      <c r="B505" t="s">
        <v>5768</v>
      </c>
      <c r="C505" t="s">
        <v>74</v>
      </c>
      <c r="D505" t="s">
        <v>74</v>
      </c>
      <c r="E505" t="s">
        <v>74</v>
      </c>
      <c r="F505" t="s">
        <v>5769</v>
      </c>
      <c r="G505" t="s">
        <v>74</v>
      </c>
      <c r="H505" t="s">
        <v>74</v>
      </c>
      <c r="I505" t="s">
        <v>5770</v>
      </c>
      <c r="J505" t="s">
        <v>5771</v>
      </c>
      <c r="K505" t="s">
        <v>74</v>
      </c>
      <c r="L505" t="s">
        <v>74</v>
      </c>
      <c r="M505" t="s">
        <v>78</v>
      </c>
      <c r="N505" t="s">
        <v>2737</v>
      </c>
      <c r="O505" t="s">
        <v>74</v>
      </c>
      <c r="P505" t="s">
        <v>74</v>
      </c>
      <c r="Q505" t="s">
        <v>74</v>
      </c>
      <c r="R505" t="s">
        <v>74</v>
      </c>
      <c r="S505" t="s">
        <v>74</v>
      </c>
      <c r="T505" t="s">
        <v>5772</v>
      </c>
      <c r="U505" t="s">
        <v>5773</v>
      </c>
      <c r="V505" t="s">
        <v>5774</v>
      </c>
      <c r="W505" t="s">
        <v>5775</v>
      </c>
      <c r="X505" t="s">
        <v>5776</v>
      </c>
      <c r="Y505" t="s">
        <v>5777</v>
      </c>
      <c r="Z505" t="s">
        <v>5778</v>
      </c>
      <c r="AA505" t="s">
        <v>5779</v>
      </c>
      <c r="AB505" t="s">
        <v>5780</v>
      </c>
      <c r="AC505" t="s">
        <v>74</v>
      </c>
      <c r="AD505" t="s">
        <v>74</v>
      </c>
      <c r="AE505" t="s">
        <v>74</v>
      </c>
      <c r="AF505" t="s">
        <v>74</v>
      </c>
      <c r="AG505">
        <v>42</v>
      </c>
      <c r="AH505">
        <v>30</v>
      </c>
      <c r="AI505">
        <v>31</v>
      </c>
      <c r="AJ505">
        <v>0</v>
      </c>
      <c r="AK505">
        <v>5</v>
      </c>
      <c r="AL505" t="s">
        <v>5781</v>
      </c>
      <c r="AM505" t="s">
        <v>5782</v>
      </c>
      <c r="AN505" t="s">
        <v>5783</v>
      </c>
      <c r="AO505" t="s">
        <v>5784</v>
      </c>
      <c r="AP505" t="s">
        <v>5785</v>
      </c>
      <c r="AQ505" t="s">
        <v>74</v>
      </c>
      <c r="AR505" t="s">
        <v>5786</v>
      </c>
      <c r="AS505" t="s">
        <v>5787</v>
      </c>
      <c r="AT505" t="s">
        <v>5763</v>
      </c>
      <c r="AU505">
        <v>2008</v>
      </c>
      <c r="AV505">
        <v>227</v>
      </c>
      <c r="AW505">
        <v>11</v>
      </c>
      <c r="AX505" t="s">
        <v>74</v>
      </c>
      <c r="AY505" t="s">
        <v>74</v>
      </c>
      <c r="AZ505" t="s">
        <v>74</v>
      </c>
      <c r="BA505" t="s">
        <v>74</v>
      </c>
      <c r="BB505">
        <v>5691</v>
      </c>
      <c r="BC505">
        <v>5716</v>
      </c>
      <c r="BD505" t="s">
        <v>74</v>
      </c>
      <c r="BE505" t="s">
        <v>5788</v>
      </c>
      <c r="BF505" t="str">
        <f>HYPERLINK("http://dx.doi.org/10.1016/j.jcp.2008.02.018","http://dx.doi.org/10.1016/j.jcp.2008.02.018")</f>
        <v>http://dx.doi.org/10.1016/j.jcp.2008.02.018</v>
      </c>
      <c r="BG505" t="s">
        <v>74</v>
      </c>
      <c r="BH505" t="s">
        <v>74</v>
      </c>
      <c r="BI505">
        <v>26</v>
      </c>
      <c r="BJ505" t="s">
        <v>5789</v>
      </c>
      <c r="BK505" t="s">
        <v>419</v>
      </c>
      <c r="BL505" t="s">
        <v>5790</v>
      </c>
      <c r="BM505" t="s">
        <v>5791</v>
      </c>
      <c r="BN505" t="s">
        <v>74</v>
      </c>
      <c r="BO505" t="s">
        <v>3110</v>
      </c>
      <c r="BP505" t="s">
        <v>74</v>
      </c>
      <c r="BQ505" t="s">
        <v>74</v>
      </c>
      <c r="BR505" t="s">
        <v>101</v>
      </c>
      <c r="BS505" t="s">
        <v>5792</v>
      </c>
      <c r="BT505" t="str">
        <f>HYPERLINK("https%3A%2F%2Fwww.webofscience.com%2Fwos%2Fwoscc%2Ffull-record%2FWOS:000256501800015","View Full Record in Web of Science")</f>
        <v>View Full Record in Web of Science</v>
      </c>
    </row>
    <row r="506" spans="1:72" x14ac:dyDescent="0.15">
      <c r="A506" t="s">
        <v>72</v>
      </c>
      <c r="B506" t="s">
        <v>5793</v>
      </c>
      <c r="C506" t="s">
        <v>74</v>
      </c>
      <c r="D506" t="s">
        <v>74</v>
      </c>
      <c r="E506" t="s">
        <v>74</v>
      </c>
      <c r="F506" t="s">
        <v>5794</v>
      </c>
      <c r="G506" t="s">
        <v>74</v>
      </c>
      <c r="H506" t="s">
        <v>74</v>
      </c>
      <c r="I506" t="s">
        <v>5795</v>
      </c>
      <c r="J506" t="s">
        <v>3432</v>
      </c>
      <c r="K506" t="s">
        <v>74</v>
      </c>
      <c r="L506" t="s">
        <v>74</v>
      </c>
      <c r="M506" t="s">
        <v>78</v>
      </c>
      <c r="N506" t="s">
        <v>2737</v>
      </c>
      <c r="O506" t="s">
        <v>74</v>
      </c>
      <c r="P506" t="s">
        <v>74</v>
      </c>
      <c r="Q506" t="s">
        <v>74</v>
      </c>
      <c r="R506" t="s">
        <v>74</v>
      </c>
      <c r="S506" t="s">
        <v>74</v>
      </c>
      <c r="T506" t="s">
        <v>74</v>
      </c>
      <c r="U506" t="s">
        <v>5796</v>
      </c>
      <c r="V506" t="s">
        <v>5797</v>
      </c>
      <c r="W506" t="s">
        <v>5798</v>
      </c>
      <c r="X506" t="s">
        <v>5799</v>
      </c>
      <c r="Y506" t="s">
        <v>5800</v>
      </c>
      <c r="Z506" t="s">
        <v>5801</v>
      </c>
      <c r="AA506" t="s">
        <v>5802</v>
      </c>
      <c r="AB506" t="s">
        <v>74</v>
      </c>
      <c r="AC506" t="s">
        <v>74</v>
      </c>
      <c r="AD506" t="s">
        <v>74</v>
      </c>
      <c r="AE506" t="s">
        <v>74</v>
      </c>
      <c r="AF506" t="s">
        <v>74</v>
      </c>
      <c r="AG506">
        <v>65</v>
      </c>
      <c r="AH506">
        <v>10</v>
      </c>
      <c r="AI506">
        <v>12</v>
      </c>
      <c r="AJ506">
        <v>0</v>
      </c>
      <c r="AK506">
        <v>5</v>
      </c>
      <c r="AL506" t="s">
        <v>3280</v>
      </c>
      <c r="AM506" t="s">
        <v>3281</v>
      </c>
      <c r="AN506" t="s">
        <v>3282</v>
      </c>
      <c r="AO506" t="s">
        <v>3439</v>
      </c>
      <c r="AP506" t="s">
        <v>3440</v>
      </c>
      <c r="AQ506" t="s">
        <v>74</v>
      </c>
      <c r="AR506" t="s">
        <v>3441</v>
      </c>
      <c r="AS506" t="s">
        <v>3442</v>
      </c>
      <c r="AT506" t="s">
        <v>5803</v>
      </c>
      <c r="AU506">
        <v>2008</v>
      </c>
      <c r="AV506">
        <v>113</v>
      </c>
      <c r="AW506" t="s">
        <v>5487</v>
      </c>
      <c r="AX506" t="s">
        <v>74</v>
      </c>
      <c r="AY506" t="s">
        <v>74</v>
      </c>
      <c r="AZ506" t="s">
        <v>74</v>
      </c>
      <c r="BA506" t="s">
        <v>74</v>
      </c>
      <c r="BB506" t="s">
        <v>74</v>
      </c>
      <c r="BC506" t="s">
        <v>74</v>
      </c>
      <c r="BD506" t="s">
        <v>5804</v>
      </c>
      <c r="BE506" t="s">
        <v>5805</v>
      </c>
      <c r="BF506" t="str">
        <f>HYPERLINK("http://dx.doi.org/10.1029/2007JC004173","http://dx.doi.org/10.1029/2007JC004173")</f>
        <v>http://dx.doi.org/10.1029/2007JC004173</v>
      </c>
      <c r="BG506" t="s">
        <v>74</v>
      </c>
      <c r="BH506" t="s">
        <v>74</v>
      </c>
      <c r="BI506">
        <v>16</v>
      </c>
      <c r="BJ506" t="s">
        <v>3447</v>
      </c>
      <c r="BK506" t="s">
        <v>419</v>
      </c>
      <c r="BL506" t="s">
        <v>3447</v>
      </c>
      <c r="BM506" t="s">
        <v>5806</v>
      </c>
      <c r="BN506" t="s">
        <v>74</v>
      </c>
      <c r="BO506" t="s">
        <v>3290</v>
      </c>
      <c r="BP506" t="s">
        <v>74</v>
      </c>
      <c r="BQ506" t="s">
        <v>74</v>
      </c>
      <c r="BR506" t="s">
        <v>101</v>
      </c>
      <c r="BS506" t="s">
        <v>5807</v>
      </c>
      <c r="BT506" t="str">
        <f>HYPERLINK("https%3A%2F%2Fwww.webofscience.com%2Fwos%2Fwoscc%2Ffull-record%2FWOS:000255829100002","View Full Record in Web of Science")</f>
        <v>View Full Record in Web of Science</v>
      </c>
    </row>
    <row r="507" spans="1:72" x14ac:dyDescent="0.15">
      <c r="A507" t="s">
        <v>72</v>
      </c>
      <c r="B507" t="s">
        <v>5808</v>
      </c>
      <c r="C507" t="s">
        <v>74</v>
      </c>
      <c r="D507" t="s">
        <v>74</v>
      </c>
      <c r="E507" t="s">
        <v>74</v>
      </c>
      <c r="F507" t="s">
        <v>5809</v>
      </c>
      <c r="G507" t="s">
        <v>74</v>
      </c>
      <c r="H507" t="s">
        <v>74</v>
      </c>
      <c r="I507" t="s">
        <v>5810</v>
      </c>
      <c r="J507" t="s">
        <v>3295</v>
      </c>
      <c r="K507" t="s">
        <v>74</v>
      </c>
      <c r="L507" t="s">
        <v>74</v>
      </c>
      <c r="M507" t="s">
        <v>78</v>
      </c>
      <c r="N507" t="s">
        <v>2737</v>
      </c>
      <c r="O507" t="s">
        <v>74</v>
      </c>
      <c r="P507" t="s">
        <v>74</v>
      </c>
      <c r="Q507" t="s">
        <v>74</v>
      </c>
      <c r="R507" t="s">
        <v>74</v>
      </c>
      <c r="S507" t="s">
        <v>74</v>
      </c>
      <c r="T507" t="s">
        <v>74</v>
      </c>
      <c r="U507" t="s">
        <v>5811</v>
      </c>
      <c r="V507" t="s">
        <v>5812</v>
      </c>
      <c r="W507" t="s">
        <v>5813</v>
      </c>
      <c r="X507" t="s">
        <v>5814</v>
      </c>
      <c r="Y507" t="s">
        <v>5815</v>
      </c>
      <c r="Z507" t="s">
        <v>5816</v>
      </c>
      <c r="AA507" t="s">
        <v>74</v>
      </c>
      <c r="AB507" t="s">
        <v>74</v>
      </c>
      <c r="AC507" t="s">
        <v>74</v>
      </c>
      <c r="AD507" t="s">
        <v>74</v>
      </c>
      <c r="AE507" t="s">
        <v>74</v>
      </c>
      <c r="AF507" t="s">
        <v>74</v>
      </c>
      <c r="AG507">
        <v>9</v>
      </c>
      <c r="AH507">
        <v>10</v>
      </c>
      <c r="AI507">
        <v>10</v>
      </c>
      <c r="AJ507">
        <v>0</v>
      </c>
      <c r="AK507">
        <v>5</v>
      </c>
      <c r="AL507" t="s">
        <v>3280</v>
      </c>
      <c r="AM507" t="s">
        <v>3281</v>
      </c>
      <c r="AN507" t="s">
        <v>3282</v>
      </c>
      <c r="AO507" t="s">
        <v>3304</v>
      </c>
      <c r="AP507" t="s">
        <v>3305</v>
      </c>
      <c r="AQ507" t="s">
        <v>74</v>
      </c>
      <c r="AR507" t="s">
        <v>3306</v>
      </c>
      <c r="AS507" t="s">
        <v>3307</v>
      </c>
      <c r="AT507" t="s">
        <v>5817</v>
      </c>
      <c r="AU507">
        <v>2008</v>
      </c>
      <c r="AV507">
        <v>35</v>
      </c>
      <c r="AW507">
        <v>9</v>
      </c>
      <c r="AX507" t="s">
        <v>74</v>
      </c>
      <c r="AY507" t="s">
        <v>74</v>
      </c>
      <c r="AZ507" t="s">
        <v>74</v>
      </c>
      <c r="BA507" t="s">
        <v>74</v>
      </c>
      <c r="BB507" t="s">
        <v>74</v>
      </c>
      <c r="BC507" t="s">
        <v>74</v>
      </c>
      <c r="BD507" t="s">
        <v>5818</v>
      </c>
      <c r="BE507" t="s">
        <v>5819</v>
      </c>
      <c r="BF507" t="str">
        <f>HYPERLINK("http://dx.doi.org/10.1029/2008GL033660","http://dx.doi.org/10.1029/2008GL033660")</f>
        <v>http://dx.doi.org/10.1029/2008GL033660</v>
      </c>
      <c r="BG507" t="s">
        <v>74</v>
      </c>
      <c r="BH507" t="s">
        <v>74</v>
      </c>
      <c r="BI507">
        <v>6</v>
      </c>
      <c r="BJ507" t="s">
        <v>3093</v>
      </c>
      <c r="BK507" t="s">
        <v>419</v>
      </c>
      <c r="BL507" t="s">
        <v>3094</v>
      </c>
      <c r="BM507" t="s">
        <v>5820</v>
      </c>
      <c r="BN507" t="s">
        <v>74</v>
      </c>
      <c r="BO507" t="s">
        <v>74</v>
      </c>
      <c r="BP507" t="s">
        <v>74</v>
      </c>
      <c r="BQ507" t="s">
        <v>74</v>
      </c>
      <c r="BR507" t="s">
        <v>101</v>
      </c>
      <c r="BS507" t="s">
        <v>5821</v>
      </c>
      <c r="BT507" t="str">
        <f>HYPERLINK("https%3A%2F%2Fwww.webofscience.com%2Fwos%2Fwoscc%2Ffull-record%2FWOS:000255825000003","View Full Record in Web of Science")</f>
        <v>View Full Record in Web of Science</v>
      </c>
    </row>
    <row r="508" spans="1:72" x14ac:dyDescent="0.15">
      <c r="A508" t="s">
        <v>72</v>
      </c>
      <c r="B508" t="s">
        <v>5822</v>
      </c>
      <c r="C508" t="s">
        <v>74</v>
      </c>
      <c r="D508" t="s">
        <v>74</v>
      </c>
      <c r="E508" t="s">
        <v>74</v>
      </c>
      <c r="F508" t="s">
        <v>5823</v>
      </c>
      <c r="G508" t="s">
        <v>74</v>
      </c>
      <c r="H508" t="s">
        <v>74</v>
      </c>
      <c r="I508" t="s">
        <v>5824</v>
      </c>
      <c r="J508" t="s">
        <v>3396</v>
      </c>
      <c r="K508" t="s">
        <v>74</v>
      </c>
      <c r="L508" t="s">
        <v>74</v>
      </c>
      <c r="M508" t="s">
        <v>78</v>
      </c>
      <c r="N508" t="s">
        <v>2737</v>
      </c>
      <c r="O508" t="s">
        <v>74</v>
      </c>
      <c r="P508" t="s">
        <v>74</v>
      </c>
      <c r="Q508" t="s">
        <v>74</v>
      </c>
      <c r="R508" t="s">
        <v>74</v>
      </c>
      <c r="S508" t="s">
        <v>74</v>
      </c>
      <c r="T508" t="s">
        <v>74</v>
      </c>
      <c r="U508" t="s">
        <v>5825</v>
      </c>
      <c r="V508" t="s">
        <v>5826</v>
      </c>
      <c r="W508" t="s">
        <v>5827</v>
      </c>
      <c r="X508" t="s">
        <v>5828</v>
      </c>
      <c r="Y508" t="s">
        <v>5829</v>
      </c>
      <c r="Z508" t="s">
        <v>5830</v>
      </c>
      <c r="AA508" t="s">
        <v>5831</v>
      </c>
      <c r="AB508" t="s">
        <v>5832</v>
      </c>
      <c r="AC508" t="s">
        <v>74</v>
      </c>
      <c r="AD508" t="s">
        <v>74</v>
      </c>
      <c r="AE508" t="s">
        <v>74</v>
      </c>
      <c r="AF508" t="s">
        <v>74</v>
      </c>
      <c r="AG508">
        <v>37</v>
      </c>
      <c r="AH508">
        <v>138</v>
      </c>
      <c r="AI508">
        <v>159</v>
      </c>
      <c r="AJ508">
        <v>0</v>
      </c>
      <c r="AK508">
        <v>21</v>
      </c>
      <c r="AL508" t="s">
        <v>3280</v>
      </c>
      <c r="AM508" t="s">
        <v>3281</v>
      </c>
      <c r="AN508" t="s">
        <v>3282</v>
      </c>
      <c r="AO508" t="s">
        <v>3406</v>
      </c>
      <c r="AP508" t="s">
        <v>3407</v>
      </c>
      <c r="AQ508" t="s">
        <v>74</v>
      </c>
      <c r="AR508" t="s">
        <v>3408</v>
      </c>
      <c r="AS508" t="s">
        <v>3409</v>
      </c>
      <c r="AT508" t="s">
        <v>5833</v>
      </c>
      <c r="AU508">
        <v>2008</v>
      </c>
      <c r="AV508">
        <v>113</v>
      </c>
      <c r="AW508" t="s">
        <v>5834</v>
      </c>
      <c r="AX508" t="s">
        <v>74</v>
      </c>
      <c r="AY508" t="s">
        <v>74</v>
      </c>
      <c r="AZ508" t="s">
        <v>74</v>
      </c>
      <c r="BA508" t="s">
        <v>74</v>
      </c>
      <c r="BB508" t="s">
        <v>74</v>
      </c>
      <c r="BC508" t="s">
        <v>74</v>
      </c>
      <c r="BD508" t="s">
        <v>5835</v>
      </c>
      <c r="BE508" t="s">
        <v>5836</v>
      </c>
      <c r="BF508" t="str">
        <f>HYPERLINK("http://dx.doi.org/10.1029/2007JD008819","http://dx.doi.org/10.1029/2007JD008819")</f>
        <v>http://dx.doi.org/10.1029/2007JD008819</v>
      </c>
      <c r="BG508" t="s">
        <v>74</v>
      </c>
      <c r="BH508" t="s">
        <v>74</v>
      </c>
      <c r="BI508">
        <v>13</v>
      </c>
      <c r="BJ508" t="s">
        <v>3071</v>
      </c>
      <c r="BK508" t="s">
        <v>419</v>
      </c>
      <c r="BL508" t="s">
        <v>3071</v>
      </c>
      <c r="BM508" t="s">
        <v>5837</v>
      </c>
      <c r="BN508" t="s">
        <v>74</v>
      </c>
      <c r="BO508" t="s">
        <v>3359</v>
      </c>
      <c r="BP508" t="s">
        <v>74</v>
      </c>
      <c r="BQ508" t="s">
        <v>74</v>
      </c>
      <c r="BR508" t="s">
        <v>101</v>
      </c>
      <c r="BS508" t="s">
        <v>5838</v>
      </c>
      <c r="BT508" t="str">
        <f>HYPERLINK("https%3A%2F%2Fwww.webofscience.com%2Fwos%2Fwoscc%2Ffull-record%2FWOS:000255827500002","View Full Record in Web of Science")</f>
        <v>View Full Record in Web of Science</v>
      </c>
    </row>
    <row r="509" spans="1:72" x14ac:dyDescent="0.15">
      <c r="A509" t="s">
        <v>72</v>
      </c>
      <c r="B509" t="s">
        <v>5839</v>
      </c>
      <c r="C509" t="s">
        <v>74</v>
      </c>
      <c r="D509" t="s">
        <v>74</v>
      </c>
      <c r="E509" t="s">
        <v>74</v>
      </c>
      <c r="F509" t="s">
        <v>5840</v>
      </c>
      <c r="G509" t="s">
        <v>74</v>
      </c>
      <c r="H509" t="s">
        <v>74</v>
      </c>
      <c r="I509" t="s">
        <v>5841</v>
      </c>
      <c r="J509" t="s">
        <v>3295</v>
      </c>
      <c r="K509" t="s">
        <v>74</v>
      </c>
      <c r="L509" t="s">
        <v>74</v>
      </c>
      <c r="M509" t="s">
        <v>78</v>
      </c>
      <c r="N509" t="s">
        <v>2737</v>
      </c>
      <c r="O509" t="s">
        <v>74</v>
      </c>
      <c r="P509" t="s">
        <v>74</v>
      </c>
      <c r="Q509" t="s">
        <v>74</v>
      </c>
      <c r="R509" t="s">
        <v>74</v>
      </c>
      <c r="S509" t="s">
        <v>74</v>
      </c>
      <c r="T509" t="s">
        <v>74</v>
      </c>
      <c r="U509" t="s">
        <v>5842</v>
      </c>
      <c r="V509" t="s">
        <v>5843</v>
      </c>
      <c r="W509" t="s">
        <v>5844</v>
      </c>
      <c r="X509" t="s">
        <v>5845</v>
      </c>
      <c r="Y509" t="s">
        <v>5846</v>
      </c>
      <c r="Z509" t="s">
        <v>5847</v>
      </c>
      <c r="AA509" t="s">
        <v>74</v>
      </c>
      <c r="AB509" t="s">
        <v>74</v>
      </c>
      <c r="AC509" t="s">
        <v>74</v>
      </c>
      <c r="AD509" t="s">
        <v>74</v>
      </c>
      <c r="AE509" t="s">
        <v>74</v>
      </c>
      <c r="AF509" t="s">
        <v>74</v>
      </c>
      <c r="AG509">
        <v>19</v>
      </c>
      <c r="AH509">
        <v>2</v>
      </c>
      <c r="AI509">
        <v>2</v>
      </c>
      <c r="AJ509">
        <v>1</v>
      </c>
      <c r="AK509">
        <v>7</v>
      </c>
      <c r="AL509" t="s">
        <v>3280</v>
      </c>
      <c r="AM509" t="s">
        <v>3281</v>
      </c>
      <c r="AN509" t="s">
        <v>3282</v>
      </c>
      <c r="AO509" t="s">
        <v>3304</v>
      </c>
      <c r="AP509" t="s">
        <v>3305</v>
      </c>
      <c r="AQ509" t="s">
        <v>74</v>
      </c>
      <c r="AR509" t="s">
        <v>3306</v>
      </c>
      <c r="AS509" t="s">
        <v>3307</v>
      </c>
      <c r="AT509" t="s">
        <v>5848</v>
      </c>
      <c r="AU509">
        <v>2008</v>
      </c>
      <c r="AV509">
        <v>35</v>
      </c>
      <c r="AW509">
        <v>9</v>
      </c>
      <c r="AX509" t="s">
        <v>74</v>
      </c>
      <c r="AY509" t="s">
        <v>74</v>
      </c>
      <c r="AZ509" t="s">
        <v>74</v>
      </c>
      <c r="BA509" t="s">
        <v>74</v>
      </c>
      <c r="BB509" t="s">
        <v>74</v>
      </c>
      <c r="BC509" t="s">
        <v>74</v>
      </c>
      <c r="BD509" t="s">
        <v>5849</v>
      </c>
      <c r="BE509" t="s">
        <v>5850</v>
      </c>
      <c r="BF509" t="str">
        <f>HYPERLINK("http://dx.doi.org/10.1029/2008GL033565","http://dx.doi.org/10.1029/2008GL033565")</f>
        <v>http://dx.doi.org/10.1029/2008GL033565</v>
      </c>
      <c r="BG509" t="s">
        <v>74</v>
      </c>
      <c r="BH509" t="s">
        <v>74</v>
      </c>
      <c r="BI509">
        <v>4</v>
      </c>
      <c r="BJ509" t="s">
        <v>3093</v>
      </c>
      <c r="BK509" t="s">
        <v>419</v>
      </c>
      <c r="BL509" t="s">
        <v>3094</v>
      </c>
      <c r="BM509" t="s">
        <v>5851</v>
      </c>
      <c r="BN509" t="s">
        <v>74</v>
      </c>
      <c r="BO509" t="s">
        <v>3290</v>
      </c>
      <c r="BP509" t="s">
        <v>74</v>
      </c>
      <c r="BQ509" t="s">
        <v>74</v>
      </c>
      <c r="BR509" t="s">
        <v>101</v>
      </c>
      <c r="BS509" t="s">
        <v>5852</v>
      </c>
      <c r="BT509" t="str">
        <f>HYPERLINK("https%3A%2F%2Fwww.webofscience.com%2Fwos%2Fwoscc%2Ffull-record%2FWOS:000255593300001","View Full Record in Web of Science")</f>
        <v>View Full Record in Web of Science</v>
      </c>
    </row>
    <row r="510" spans="1:72" x14ac:dyDescent="0.15">
      <c r="A510" t="s">
        <v>72</v>
      </c>
      <c r="B510" t="s">
        <v>5853</v>
      </c>
      <c r="C510" t="s">
        <v>74</v>
      </c>
      <c r="D510" t="s">
        <v>74</v>
      </c>
      <c r="E510" t="s">
        <v>74</v>
      </c>
      <c r="F510" t="s">
        <v>5854</v>
      </c>
      <c r="G510" t="s">
        <v>74</v>
      </c>
      <c r="H510" t="s">
        <v>74</v>
      </c>
      <c r="I510" t="s">
        <v>5855</v>
      </c>
      <c r="J510" t="s">
        <v>5856</v>
      </c>
      <c r="K510" t="s">
        <v>74</v>
      </c>
      <c r="L510" t="s">
        <v>74</v>
      </c>
      <c r="M510" t="s">
        <v>78</v>
      </c>
      <c r="N510" t="s">
        <v>2737</v>
      </c>
      <c r="O510" t="s">
        <v>74</v>
      </c>
      <c r="P510" t="s">
        <v>74</v>
      </c>
      <c r="Q510" t="s">
        <v>74</v>
      </c>
      <c r="R510" t="s">
        <v>74</v>
      </c>
      <c r="S510" t="s">
        <v>74</v>
      </c>
      <c r="T510" t="s">
        <v>74</v>
      </c>
      <c r="U510" t="s">
        <v>74</v>
      </c>
      <c r="V510" t="s">
        <v>5857</v>
      </c>
      <c r="W510" t="s">
        <v>5858</v>
      </c>
      <c r="X510" t="s">
        <v>5859</v>
      </c>
      <c r="Y510" t="s">
        <v>5860</v>
      </c>
      <c r="Z510" t="s">
        <v>5861</v>
      </c>
      <c r="AA510" t="s">
        <v>74</v>
      </c>
      <c r="AB510" t="s">
        <v>74</v>
      </c>
      <c r="AC510" t="s">
        <v>74</v>
      </c>
      <c r="AD510" t="s">
        <v>74</v>
      </c>
      <c r="AE510" t="s">
        <v>74</v>
      </c>
      <c r="AF510" t="s">
        <v>74</v>
      </c>
      <c r="AG510">
        <v>5</v>
      </c>
      <c r="AH510">
        <v>1</v>
      </c>
      <c r="AI510">
        <v>1</v>
      </c>
      <c r="AJ510">
        <v>0</v>
      </c>
      <c r="AK510">
        <v>1</v>
      </c>
      <c r="AL510" t="s">
        <v>5862</v>
      </c>
      <c r="AM510" t="s">
        <v>5416</v>
      </c>
      <c r="AN510" t="s">
        <v>5863</v>
      </c>
      <c r="AO510" t="s">
        <v>5864</v>
      </c>
      <c r="AP510" t="s">
        <v>5865</v>
      </c>
      <c r="AQ510" t="s">
        <v>74</v>
      </c>
      <c r="AR510" t="s">
        <v>5866</v>
      </c>
      <c r="AS510" t="s">
        <v>5867</v>
      </c>
      <c r="AT510" t="s">
        <v>5868</v>
      </c>
      <c r="AU510">
        <v>2008</v>
      </c>
      <c r="AV510">
        <v>54</v>
      </c>
      <c r="AW510">
        <v>3</v>
      </c>
      <c r="AX510" t="s">
        <v>74</v>
      </c>
      <c r="AY510" t="s">
        <v>74</v>
      </c>
      <c r="AZ510" t="s">
        <v>74</v>
      </c>
      <c r="BA510" t="s">
        <v>74</v>
      </c>
      <c r="BB510">
        <v>371</v>
      </c>
      <c r="BC510">
        <v>374</v>
      </c>
      <c r="BD510" t="s">
        <v>74</v>
      </c>
      <c r="BE510" t="s">
        <v>5869</v>
      </c>
      <c r="BF510" t="str">
        <f>HYPERLINK("http://dx.doi.org/10.1134/S1063771008030123","http://dx.doi.org/10.1134/S1063771008030123")</f>
        <v>http://dx.doi.org/10.1134/S1063771008030123</v>
      </c>
      <c r="BG510" t="s">
        <v>74</v>
      </c>
      <c r="BH510" t="s">
        <v>74</v>
      </c>
      <c r="BI510">
        <v>4</v>
      </c>
      <c r="BJ510" t="s">
        <v>5870</v>
      </c>
      <c r="BK510" t="s">
        <v>419</v>
      </c>
      <c r="BL510" t="s">
        <v>5870</v>
      </c>
      <c r="BM510" t="s">
        <v>5871</v>
      </c>
      <c r="BN510" t="s">
        <v>74</v>
      </c>
      <c r="BO510" t="s">
        <v>74</v>
      </c>
      <c r="BP510" t="s">
        <v>74</v>
      </c>
      <c r="BQ510" t="s">
        <v>74</v>
      </c>
      <c r="BR510" t="s">
        <v>101</v>
      </c>
      <c r="BS510" t="s">
        <v>5872</v>
      </c>
      <c r="BT510" t="str">
        <f>HYPERLINK("https%3A%2F%2Fwww.webofscience.com%2Fwos%2Fwoscc%2Ffull-record%2FWOS:000256233500012","View Full Record in Web of Science")</f>
        <v>View Full Record in Web of Science</v>
      </c>
    </row>
    <row r="511" spans="1:72" x14ac:dyDescent="0.15">
      <c r="A511" t="s">
        <v>72</v>
      </c>
      <c r="B511" t="s">
        <v>5873</v>
      </c>
      <c r="C511" t="s">
        <v>74</v>
      </c>
      <c r="D511" t="s">
        <v>74</v>
      </c>
      <c r="E511" t="s">
        <v>74</v>
      </c>
      <c r="F511" t="s">
        <v>5874</v>
      </c>
      <c r="G511" t="s">
        <v>74</v>
      </c>
      <c r="H511" t="s">
        <v>74</v>
      </c>
      <c r="I511" t="s">
        <v>5875</v>
      </c>
      <c r="J511" t="s">
        <v>5876</v>
      </c>
      <c r="K511" t="s">
        <v>74</v>
      </c>
      <c r="L511" t="s">
        <v>74</v>
      </c>
      <c r="M511" t="s">
        <v>78</v>
      </c>
      <c r="N511" t="s">
        <v>2737</v>
      </c>
      <c r="O511" t="s">
        <v>74</v>
      </c>
      <c r="P511" t="s">
        <v>74</v>
      </c>
      <c r="Q511" t="s">
        <v>74</v>
      </c>
      <c r="R511" t="s">
        <v>74</v>
      </c>
      <c r="S511" t="s">
        <v>74</v>
      </c>
      <c r="T511" t="s">
        <v>5877</v>
      </c>
      <c r="U511" t="s">
        <v>5878</v>
      </c>
      <c r="V511" t="s">
        <v>5879</v>
      </c>
      <c r="W511" t="s">
        <v>5880</v>
      </c>
      <c r="X511" t="s">
        <v>5881</v>
      </c>
      <c r="Y511" t="s">
        <v>5882</v>
      </c>
      <c r="Z511" t="s">
        <v>5883</v>
      </c>
      <c r="AA511" t="s">
        <v>74</v>
      </c>
      <c r="AB511" t="s">
        <v>74</v>
      </c>
      <c r="AC511" t="s">
        <v>5884</v>
      </c>
      <c r="AD511" t="s">
        <v>5884</v>
      </c>
      <c r="AE511" t="s">
        <v>5885</v>
      </c>
      <c r="AF511" t="s">
        <v>74</v>
      </c>
      <c r="AG511">
        <v>21</v>
      </c>
      <c r="AH511">
        <v>29</v>
      </c>
      <c r="AI511">
        <v>31</v>
      </c>
      <c r="AJ511">
        <v>1</v>
      </c>
      <c r="AK511">
        <v>6</v>
      </c>
      <c r="AL511" t="s">
        <v>5886</v>
      </c>
      <c r="AM511" t="s">
        <v>5887</v>
      </c>
      <c r="AN511" t="s">
        <v>5888</v>
      </c>
      <c r="AO511" t="s">
        <v>5889</v>
      </c>
      <c r="AP511" t="s">
        <v>5890</v>
      </c>
      <c r="AQ511" t="s">
        <v>74</v>
      </c>
      <c r="AR511" t="s">
        <v>5891</v>
      </c>
      <c r="AS511" t="s">
        <v>5892</v>
      </c>
      <c r="AT511" t="s">
        <v>5893</v>
      </c>
      <c r="AU511">
        <v>2008</v>
      </c>
      <c r="AV511">
        <v>30</v>
      </c>
      <c r="AW511">
        <v>1</v>
      </c>
      <c r="AX511" t="s">
        <v>74</v>
      </c>
      <c r="AY511" t="s">
        <v>74</v>
      </c>
      <c r="AZ511" t="s">
        <v>74</v>
      </c>
      <c r="BA511" t="s">
        <v>74</v>
      </c>
      <c r="BB511">
        <v>185</v>
      </c>
      <c r="BC511">
        <v>188</v>
      </c>
      <c r="BD511" t="s">
        <v>74</v>
      </c>
      <c r="BE511" t="s">
        <v>5894</v>
      </c>
      <c r="BF511" t="str">
        <f>HYPERLINK("http://dx.doi.org/10.2989/AJMS.2008.30.1.19.469","http://dx.doi.org/10.2989/AJMS.2008.30.1.19.469")</f>
        <v>http://dx.doi.org/10.2989/AJMS.2008.30.1.19.469</v>
      </c>
      <c r="BG511" t="s">
        <v>74</v>
      </c>
      <c r="BH511" t="s">
        <v>74</v>
      </c>
      <c r="BI511">
        <v>4</v>
      </c>
      <c r="BJ511" t="s">
        <v>5035</v>
      </c>
      <c r="BK511" t="s">
        <v>419</v>
      </c>
      <c r="BL511" t="s">
        <v>5035</v>
      </c>
      <c r="BM511" t="s">
        <v>5895</v>
      </c>
      <c r="BN511" t="s">
        <v>74</v>
      </c>
      <c r="BO511" t="s">
        <v>74</v>
      </c>
      <c r="BP511" t="s">
        <v>74</v>
      </c>
      <c r="BQ511" t="s">
        <v>74</v>
      </c>
      <c r="BR511" t="s">
        <v>101</v>
      </c>
      <c r="BS511" t="s">
        <v>5896</v>
      </c>
      <c r="BT511" t="str">
        <f>HYPERLINK("https%3A%2F%2Fwww.webofscience.com%2Fwos%2Fwoscc%2Ffull-record%2FWOS:000258551900020","View Full Record in Web of Science")</f>
        <v>View Full Record in Web of Science</v>
      </c>
    </row>
    <row r="512" spans="1:72" x14ac:dyDescent="0.15">
      <c r="A512" t="s">
        <v>72</v>
      </c>
      <c r="B512" t="s">
        <v>5897</v>
      </c>
      <c r="C512" t="s">
        <v>74</v>
      </c>
      <c r="D512" t="s">
        <v>74</v>
      </c>
      <c r="E512" t="s">
        <v>74</v>
      </c>
      <c r="F512" t="s">
        <v>5898</v>
      </c>
      <c r="G512" t="s">
        <v>74</v>
      </c>
      <c r="H512" t="s">
        <v>74</v>
      </c>
      <c r="I512" t="s">
        <v>5899</v>
      </c>
      <c r="J512" t="s">
        <v>5876</v>
      </c>
      <c r="K512" t="s">
        <v>74</v>
      </c>
      <c r="L512" t="s">
        <v>74</v>
      </c>
      <c r="M512" t="s">
        <v>78</v>
      </c>
      <c r="N512" t="s">
        <v>2737</v>
      </c>
      <c r="O512" t="s">
        <v>74</v>
      </c>
      <c r="P512" t="s">
        <v>74</v>
      </c>
      <c r="Q512" t="s">
        <v>74</v>
      </c>
      <c r="R512" t="s">
        <v>74</v>
      </c>
      <c r="S512" t="s">
        <v>74</v>
      </c>
      <c r="T512" t="s">
        <v>5900</v>
      </c>
      <c r="U512" t="s">
        <v>5901</v>
      </c>
      <c r="V512" t="s">
        <v>5902</v>
      </c>
      <c r="W512" t="s">
        <v>5903</v>
      </c>
      <c r="X512" t="s">
        <v>5904</v>
      </c>
      <c r="Y512" t="s">
        <v>5905</v>
      </c>
      <c r="Z512" t="s">
        <v>5883</v>
      </c>
      <c r="AA512" t="s">
        <v>74</v>
      </c>
      <c r="AB512" t="s">
        <v>74</v>
      </c>
      <c r="AC512" t="s">
        <v>5906</v>
      </c>
      <c r="AD512" t="s">
        <v>5906</v>
      </c>
      <c r="AE512" t="s">
        <v>5907</v>
      </c>
      <c r="AF512" t="s">
        <v>74</v>
      </c>
      <c r="AG512">
        <v>51</v>
      </c>
      <c r="AH512">
        <v>39</v>
      </c>
      <c r="AI512">
        <v>44</v>
      </c>
      <c r="AJ512">
        <v>1</v>
      </c>
      <c r="AK512">
        <v>35</v>
      </c>
      <c r="AL512" t="s">
        <v>5886</v>
      </c>
      <c r="AM512" t="s">
        <v>5887</v>
      </c>
      <c r="AN512" t="s">
        <v>5888</v>
      </c>
      <c r="AO512" t="s">
        <v>5889</v>
      </c>
      <c r="AP512" t="s">
        <v>5890</v>
      </c>
      <c r="AQ512" t="s">
        <v>74</v>
      </c>
      <c r="AR512" t="s">
        <v>5891</v>
      </c>
      <c r="AS512" t="s">
        <v>5892</v>
      </c>
      <c r="AT512" t="s">
        <v>5893</v>
      </c>
      <c r="AU512">
        <v>2008</v>
      </c>
      <c r="AV512">
        <v>30</v>
      </c>
      <c r="AW512">
        <v>1</v>
      </c>
      <c r="AX512" t="s">
        <v>74</v>
      </c>
      <c r="AY512" t="s">
        <v>74</v>
      </c>
      <c r="AZ512" t="s">
        <v>74</v>
      </c>
      <c r="BA512" t="s">
        <v>74</v>
      </c>
      <c r="BB512">
        <v>189</v>
      </c>
      <c r="BC512">
        <v>193</v>
      </c>
      <c r="BD512" t="s">
        <v>74</v>
      </c>
      <c r="BE512" t="s">
        <v>5908</v>
      </c>
      <c r="BF512" t="str">
        <f>HYPERLINK("http://dx.doi.org/10.2989/AJMS.2008.30.1.20.470","http://dx.doi.org/10.2989/AJMS.2008.30.1.20.470")</f>
        <v>http://dx.doi.org/10.2989/AJMS.2008.30.1.20.470</v>
      </c>
      <c r="BG512" t="s">
        <v>74</v>
      </c>
      <c r="BH512" t="s">
        <v>74</v>
      </c>
      <c r="BI512">
        <v>5</v>
      </c>
      <c r="BJ512" t="s">
        <v>5035</v>
      </c>
      <c r="BK512" t="s">
        <v>419</v>
      </c>
      <c r="BL512" t="s">
        <v>5035</v>
      </c>
      <c r="BM512" t="s">
        <v>5895</v>
      </c>
      <c r="BN512" t="s">
        <v>74</v>
      </c>
      <c r="BO512" t="s">
        <v>74</v>
      </c>
      <c r="BP512" t="s">
        <v>74</v>
      </c>
      <c r="BQ512" t="s">
        <v>74</v>
      </c>
      <c r="BR512" t="s">
        <v>101</v>
      </c>
      <c r="BS512" t="s">
        <v>5909</v>
      </c>
      <c r="BT512" t="str">
        <f>HYPERLINK("https%3A%2F%2Fwww.webofscience.com%2Fwos%2Fwoscc%2Ffull-record%2FWOS:000258551900021","View Full Record in Web of Science")</f>
        <v>View Full Record in Web of Science</v>
      </c>
    </row>
    <row r="513" spans="1:72" x14ac:dyDescent="0.15">
      <c r="A513" t="s">
        <v>72</v>
      </c>
      <c r="B513" t="s">
        <v>5910</v>
      </c>
      <c r="C513" t="s">
        <v>74</v>
      </c>
      <c r="D513" t="s">
        <v>74</v>
      </c>
      <c r="E513" t="s">
        <v>74</v>
      </c>
      <c r="F513" t="s">
        <v>5911</v>
      </c>
      <c r="G513" t="s">
        <v>74</v>
      </c>
      <c r="H513" t="s">
        <v>74</v>
      </c>
      <c r="I513" t="s">
        <v>5912</v>
      </c>
      <c r="J513" t="s">
        <v>5913</v>
      </c>
      <c r="K513" t="s">
        <v>74</v>
      </c>
      <c r="L513" t="s">
        <v>74</v>
      </c>
      <c r="M513" t="s">
        <v>78</v>
      </c>
      <c r="N513" t="s">
        <v>2737</v>
      </c>
      <c r="O513" t="s">
        <v>74</v>
      </c>
      <c r="P513" t="s">
        <v>74</v>
      </c>
      <c r="Q513" t="s">
        <v>74</v>
      </c>
      <c r="R513" t="s">
        <v>74</v>
      </c>
      <c r="S513" t="s">
        <v>74</v>
      </c>
      <c r="T513" t="s">
        <v>74</v>
      </c>
      <c r="U513" t="s">
        <v>5914</v>
      </c>
      <c r="V513" t="s">
        <v>5915</v>
      </c>
      <c r="W513" t="s">
        <v>5916</v>
      </c>
      <c r="X513" t="s">
        <v>5917</v>
      </c>
      <c r="Y513" t="s">
        <v>5918</v>
      </c>
      <c r="Z513" t="s">
        <v>5919</v>
      </c>
      <c r="AA513" t="s">
        <v>5920</v>
      </c>
      <c r="AB513" t="s">
        <v>5921</v>
      </c>
      <c r="AC513" t="s">
        <v>74</v>
      </c>
      <c r="AD513" t="s">
        <v>74</v>
      </c>
      <c r="AE513" t="s">
        <v>74</v>
      </c>
      <c r="AF513" t="s">
        <v>74</v>
      </c>
      <c r="AG513">
        <v>41</v>
      </c>
      <c r="AH513">
        <v>4</v>
      </c>
      <c r="AI513">
        <v>4</v>
      </c>
      <c r="AJ513">
        <v>0</v>
      </c>
      <c r="AK513">
        <v>10</v>
      </c>
      <c r="AL513" t="s">
        <v>5862</v>
      </c>
      <c r="AM513" t="s">
        <v>5416</v>
      </c>
      <c r="AN513" t="s">
        <v>5863</v>
      </c>
      <c r="AO513" t="s">
        <v>5922</v>
      </c>
      <c r="AP513" t="s">
        <v>5923</v>
      </c>
      <c r="AQ513" t="s">
        <v>74</v>
      </c>
      <c r="AR513" t="s">
        <v>5924</v>
      </c>
      <c r="AS513" t="s">
        <v>5925</v>
      </c>
      <c r="AT513" t="s">
        <v>5893</v>
      </c>
      <c r="AU513">
        <v>2008</v>
      </c>
      <c r="AV513">
        <v>44</v>
      </c>
      <c r="AW513">
        <v>3</v>
      </c>
      <c r="AX513" t="s">
        <v>74</v>
      </c>
      <c r="AY513" t="s">
        <v>74</v>
      </c>
      <c r="AZ513" t="s">
        <v>74</v>
      </c>
      <c r="BA513" t="s">
        <v>74</v>
      </c>
      <c r="BB513">
        <v>310</v>
      </c>
      <c r="BC513">
        <v>313</v>
      </c>
      <c r="BD513" t="s">
        <v>74</v>
      </c>
      <c r="BE513" t="s">
        <v>5926</v>
      </c>
      <c r="BF513" t="str">
        <f>HYPERLINK("http://dx.doi.org/10.1134/S0003683808030150","http://dx.doi.org/10.1134/S0003683808030150")</f>
        <v>http://dx.doi.org/10.1134/S0003683808030150</v>
      </c>
      <c r="BG513" t="s">
        <v>74</v>
      </c>
      <c r="BH513" t="s">
        <v>74</v>
      </c>
      <c r="BI513">
        <v>4</v>
      </c>
      <c r="BJ513" t="s">
        <v>4936</v>
      </c>
      <c r="BK513" t="s">
        <v>419</v>
      </c>
      <c r="BL513" t="s">
        <v>4936</v>
      </c>
      <c r="BM513" t="s">
        <v>5927</v>
      </c>
      <c r="BN513" t="s">
        <v>74</v>
      </c>
      <c r="BO513" t="s">
        <v>74</v>
      </c>
      <c r="BP513" t="s">
        <v>74</v>
      </c>
      <c r="BQ513" t="s">
        <v>74</v>
      </c>
      <c r="BR513" t="s">
        <v>101</v>
      </c>
      <c r="BS513" t="s">
        <v>5928</v>
      </c>
      <c r="BT513" t="str">
        <f>HYPERLINK("https%3A%2F%2Fwww.webofscience.com%2Fwos%2Fwoscc%2Ffull-record%2FWOS:000255850100015","View Full Record in Web of Science")</f>
        <v>View Full Record in Web of Science</v>
      </c>
    </row>
    <row r="514" spans="1:72" x14ac:dyDescent="0.15">
      <c r="A514" t="s">
        <v>72</v>
      </c>
      <c r="B514" t="s">
        <v>5929</v>
      </c>
      <c r="C514" t="s">
        <v>74</v>
      </c>
      <c r="D514" t="s">
        <v>74</v>
      </c>
      <c r="E514" t="s">
        <v>74</v>
      </c>
      <c r="F514" t="s">
        <v>5930</v>
      </c>
      <c r="G514" t="s">
        <v>74</v>
      </c>
      <c r="H514" t="s">
        <v>74</v>
      </c>
      <c r="I514" t="s">
        <v>5931</v>
      </c>
      <c r="J514" t="s">
        <v>5932</v>
      </c>
      <c r="K514" t="s">
        <v>74</v>
      </c>
      <c r="L514" t="s">
        <v>74</v>
      </c>
      <c r="M514" t="s">
        <v>78</v>
      </c>
      <c r="N514" t="s">
        <v>2737</v>
      </c>
      <c r="O514" t="s">
        <v>74</v>
      </c>
      <c r="P514" t="s">
        <v>74</v>
      </c>
      <c r="Q514" t="s">
        <v>74</v>
      </c>
      <c r="R514" t="s">
        <v>74</v>
      </c>
      <c r="S514" t="s">
        <v>74</v>
      </c>
      <c r="T514" t="s">
        <v>5933</v>
      </c>
      <c r="U514" t="s">
        <v>5934</v>
      </c>
      <c r="V514" t="s">
        <v>5935</v>
      </c>
      <c r="W514" t="s">
        <v>5936</v>
      </c>
      <c r="X514" t="s">
        <v>5937</v>
      </c>
      <c r="Y514" t="s">
        <v>5938</v>
      </c>
      <c r="Z514" t="s">
        <v>5939</v>
      </c>
      <c r="AA514" t="s">
        <v>74</v>
      </c>
      <c r="AB514" t="s">
        <v>5940</v>
      </c>
      <c r="AC514" t="s">
        <v>74</v>
      </c>
      <c r="AD514" t="s">
        <v>74</v>
      </c>
      <c r="AE514" t="s">
        <v>74</v>
      </c>
      <c r="AF514" t="s">
        <v>74</v>
      </c>
      <c r="AG514">
        <v>35</v>
      </c>
      <c r="AH514">
        <v>13</v>
      </c>
      <c r="AI514">
        <v>15</v>
      </c>
      <c r="AJ514">
        <v>0</v>
      </c>
      <c r="AK514">
        <v>14</v>
      </c>
      <c r="AL514" t="s">
        <v>88</v>
      </c>
      <c r="AM514" t="s">
        <v>89</v>
      </c>
      <c r="AN514" t="s">
        <v>90</v>
      </c>
      <c r="AO514" t="s">
        <v>5941</v>
      </c>
      <c r="AP514" t="s">
        <v>5942</v>
      </c>
      <c r="AQ514" t="s">
        <v>74</v>
      </c>
      <c r="AR514" t="s">
        <v>5943</v>
      </c>
      <c r="AS514" t="s">
        <v>5944</v>
      </c>
      <c r="AT514" t="s">
        <v>5893</v>
      </c>
      <c r="AU514">
        <v>2008</v>
      </c>
      <c r="AV514">
        <v>18</v>
      </c>
      <c r="AW514">
        <v>3</v>
      </c>
      <c r="AX514" t="s">
        <v>74</v>
      </c>
      <c r="AY514" t="s">
        <v>74</v>
      </c>
      <c r="AZ514" t="s">
        <v>74</v>
      </c>
      <c r="BA514" t="s">
        <v>74</v>
      </c>
      <c r="BB514">
        <v>309</v>
      </c>
      <c r="BC514">
        <v>320</v>
      </c>
      <c r="BD514" t="s">
        <v>74</v>
      </c>
      <c r="BE514" t="s">
        <v>5945</v>
      </c>
      <c r="BF514" t="str">
        <f>HYPERLINK("http://dx.doi.org/10.1002/aqc.857","http://dx.doi.org/10.1002/aqc.857")</f>
        <v>http://dx.doi.org/10.1002/aqc.857</v>
      </c>
      <c r="BG514" t="s">
        <v>74</v>
      </c>
      <c r="BH514" t="s">
        <v>74</v>
      </c>
      <c r="BI514">
        <v>12</v>
      </c>
      <c r="BJ514" t="s">
        <v>5946</v>
      </c>
      <c r="BK514" t="s">
        <v>419</v>
      </c>
      <c r="BL514" t="s">
        <v>5947</v>
      </c>
      <c r="BM514" t="s">
        <v>5948</v>
      </c>
      <c r="BN514" t="s">
        <v>74</v>
      </c>
      <c r="BO514" t="s">
        <v>74</v>
      </c>
      <c r="BP514" t="s">
        <v>74</v>
      </c>
      <c r="BQ514" t="s">
        <v>74</v>
      </c>
      <c r="BR514" t="s">
        <v>101</v>
      </c>
      <c r="BS514" t="s">
        <v>5949</v>
      </c>
      <c r="BT514" t="str">
        <f>HYPERLINK("https%3A%2F%2Fwww.webofscience.com%2Fwos%2Fwoscc%2Ffull-record%2FWOS:000256604000006","View Full Record in Web of Science")</f>
        <v>View Full Record in Web of Science</v>
      </c>
    </row>
    <row r="515" spans="1:72" x14ac:dyDescent="0.15">
      <c r="A515" t="s">
        <v>72</v>
      </c>
      <c r="B515" t="s">
        <v>5950</v>
      </c>
      <c r="C515" t="s">
        <v>74</v>
      </c>
      <c r="D515" t="s">
        <v>74</v>
      </c>
      <c r="E515" t="s">
        <v>74</v>
      </c>
      <c r="F515" t="s">
        <v>5951</v>
      </c>
      <c r="G515" t="s">
        <v>74</v>
      </c>
      <c r="H515" t="s">
        <v>74</v>
      </c>
      <c r="I515" t="s">
        <v>5952</v>
      </c>
      <c r="J515" t="s">
        <v>5953</v>
      </c>
      <c r="K515" t="s">
        <v>74</v>
      </c>
      <c r="L515" t="s">
        <v>74</v>
      </c>
      <c r="M515" t="s">
        <v>78</v>
      </c>
      <c r="N515" t="s">
        <v>2737</v>
      </c>
      <c r="O515" t="s">
        <v>74</v>
      </c>
      <c r="P515" t="s">
        <v>74</v>
      </c>
      <c r="Q515" t="s">
        <v>74</v>
      </c>
      <c r="R515" t="s">
        <v>74</v>
      </c>
      <c r="S515" t="s">
        <v>74</v>
      </c>
      <c r="T515" t="s">
        <v>5954</v>
      </c>
      <c r="U515" t="s">
        <v>5955</v>
      </c>
      <c r="V515" t="s">
        <v>5956</v>
      </c>
      <c r="W515" t="s">
        <v>5957</v>
      </c>
      <c r="X515" t="s">
        <v>5958</v>
      </c>
      <c r="Y515" t="s">
        <v>5959</v>
      </c>
      <c r="Z515" t="s">
        <v>5960</v>
      </c>
      <c r="AA515" t="s">
        <v>5961</v>
      </c>
      <c r="AB515" t="s">
        <v>5962</v>
      </c>
      <c r="AC515" t="s">
        <v>74</v>
      </c>
      <c r="AD515" t="s">
        <v>74</v>
      </c>
      <c r="AE515" t="s">
        <v>74</v>
      </c>
      <c r="AF515" t="s">
        <v>74</v>
      </c>
      <c r="AG515">
        <v>32</v>
      </c>
      <c r="AH515">
        <v>16</v>
      </c>
      <c r="AI515">
        <v>16</v>
      </c>
      <c r="AJ515">
        <v>0</v>
      </c>
      <c r="AK515">
        <v>13</v>
      </c>
      <c r="AL515" t="s">
        <v>5963</v>
      </c>
      <c r="AM515" t="s">
        <v>5964</v>
      </c>
      <c r="AN515" t="s">
        <v>5965</v>
      </c>
      <c r="AO515" t="s">
        <v>5966</v>
      </c>
      <c r="AP515" t="s">
        <v>5967</v>
      </c>
      <c r="AQ515" t="s">
        <v>74</v>
      </c>
      <c r="AR515" t="s">
        <v>5968</v>
      </c>
      <c r="AS515" t="s">
        <v>5969</v>
      </c>
      <c r="AT515" t="s">
        <v>5893</v>
      </c>
      <c r="AU515">
        <v>2008</v>
      </c>
      <c r="AV515">
        <v>70</v>
      </c>
      <c r="AW515">
        <v>2</v>
      </c>
      <c r="AX515" t="s">
        <v>74</v>
      </c>
      <c r="AY515" t="s">
        <v>74</v>
      </c>
      <c r="AZ515" t="s">
        <v>74</v>
      </c>
      <c r="BA515" t="s">
        <v>74</v>
      </c>
      <c r="BB515">
        <v>134</v>
      </c>
      <c r="BC515">
        <v>141</v>
      </c>
      <c r="BD515" t="s">
        <v>74</v>
      </c>
      <c r="BE515" t="s">
        <v>5970</v>
      </c>
      <c r="BF515" t="str">
        <f>HYPERLINK("http://dx.doi.org/10.1007/s00027-008-8026-0","http://dx.doi.org/10.1007/s00027-008-8026-0")</f>
        <v>http://dx.doi.org/10.1007/s00027-008-8026-0</v>
      </c>
      <c r="BG515" t="s">
        <v>74</v>
      </c>
      <c r="BH515" t="s">
        <v>74</v>
      </c>
      <c r="BI515">
        <v>8</v>
      </c>
      <c r="BJ515" t="s">
        <v>5971</v>
      </c>
      <c r="BK515" t="s">
        <v>419</v>
      </c>
      <c r="BL515" t="s">
        <v>3941</v>
      </c>
      <c r="BM515" t="s">
        <v>5972</v>
      </c>
      <c r="BN515" t="s">
        <v>74</v>
      </c>
      <c r="BO515" t="s">
        <v>74</v>
      </c>
      <c r="BP515" t="s">
        <v>74</v>
      </c>
      <c r="BQ515" t="s">
        <v>74</v>
      </c>
      <c r="BR515" t="s">
        <v>101</v>
      </c>
      <c r="BS515" t="s">
        <v>5973</v>
      </c>
      <c r="BT515" t="str">
        <f>HYPERLINK("https%3A%2F%2Fwww.webofscience.com%2Fwos%2Fwoscc%2Ffull-record%2FWOS:000256426400004","View Full Record in Web of Science")</f>
        <v>View Full Record in Web of Science</v>
      </c>
    </row>
    <row r="516" spans="1:72" x14ac:dyDescent="0.15">
      <c r="A516" t="s">
        <v>72</v>
      </c>
      <c r="B516" t="s">
        <v>5974</v>
      </c>
      <c r="C516" t="s">
        <v>74</v>
      </c>
      <c r="D516" t="s">
        <v>74</v>
      </c>
      <c r="E516" t="s">
        <v>74</v>
      </c>
      <c r="F516" t="s">
        <v>5975</v>
      </c>
      <c r="G516" t="s">
        <v>74</v>
      </c>
      <c r="H516" t="s">
        <v>74</v>
      </c>
      <c r="I516" t="s">
        <v>5976</v>
      </c>
      <c r="J516" t="s">
        <v>5977</v>
      </c>
      <c r="K516" t="s">
        <v>74</v>
      </c>
      <c r="L516" t="s">
        <v>74</v>
      </c>
      <c r="M516" t="s">
        <v>78</v>
      </c>
      <c r="N516" t="s">
        <v>2737</v>
      </c>
      <c r="O516" t="s">
        <v>74</v>
      </c>
      <c r="P516" t="s">
        <v>74</v>
      </c>
      <c r="Q516" t="s">
        <v>74</v>
      </c>
      <c r="R516" t="s">
        <v>74</v>
      </c>
      <c r="S516" t="s">
        <v>74</v>
      </c>
      <c r="T516" t="s">
        <v>74</v>
      </c>
      <c r="U516" t="s">
        <v>5978</v>
      </c>
      <c r="V516" t="s">
        <v>5979</v>
      </c>
      <c r="W516" t="s">
        <v>5980</v>
      </c>
      <c r="X516" t="s">
        <v>5981</v>
      </c>
      <c r="Y516" t="s">
        <v>5982</v>
      </c>
      <c r="Z516" t="s">
        <v>5983</v>
      </c>
      <c r="AA516" t="s">
        <v>5984</v>
      </c>
      <c r="AB516" t="s">
        <v>5985</v>
      </c>
      <c r="AC516" t="s">
        <v>74</v>
      </c>
      <c r="AD516" t="s">
        <v>74</v>
      </c>
      <c r="AE516" t="s">
        <v>74</v>
      </c>
      <c r="AF516" t="s">
        <v>74</v>
      </c>
      <c r="AG516">
        <v>53</v>
      </c>
      <c r="AH516">
        <v>34</v>
      </c>
      <c r="AI516">
        <v>43</v>
      </c>
      <c r="AJ516">
        <v>2</v>
      </c>
      <c r="AK516">
        <v>33</v>
      </c>
      <c r="AL516" t="s">
        <v>2815</v>
      </c>
      <c r="AM516" t="s">
        <v>2816</v>
      </c>
      <c r="AN516" t="s">
        <v>2817</v>
      </c>
      <c r="AO516" t="s">
        <v>5986</v>
      </c>
      <c r="AP516" t="s">
        <v>5987</v>
      </c>
      <c r="AQ516" t="s">
        <v>74</v>
      </c>
      <c r="AR516" t="s">
        <v>5988</v>
      </c>
      <c r="AS516" t="s">
        <v>5989</v>
      </c>
      <c r="AT516" t="s">
        <v>5893</v>
      </c>
      <c r="AU516">
        <v>2008</v>
      </c>
      <c r="AV516">
        <v>40</v>
      </c>
      <c r="AW516">
        <v>2</v>
      </c>
      <c r="AX516" t="s">
        <v>74</v>
      </c>
      <c r="AY516" t="s">
        <v>74</v>
      </c>
      <c r="AZ516" t="s">
        <v>74</v>
      </c>
      <c r="BA516" t="s">
        <v>74</v>
      </c>
      <c r="BB516">
        <v>269</v>
      </c>
      <c r="BC516">
        <v>278</v>
      </c>
      <c r="BD516" t="s">
        <v>74</v>
      </c>
      <c r="BE516" t="s">
        <v>5990</v>
      </c>
      <c r="BF516" t="str">
        <f>HYPERLINK("http://dx.doi.org/10.1657/1523-0430(07-024)[BADER]2.0.CO;2","http://dx.doi.org/10.1657/1523-0430(07-024)[BADER]2.0.CO;2")</f>
        <v>http://dx.doi.org/10.1657/1523-0430(07-024)[BADER]2.0.CO;2</v>
      </c>
      <c r="BG516" t="s">
        <v>74</v>
      </c>
      <c r="BH516" t="s">
        <v>74</v>
      </c>
      <c r="BI516">
        <v>10</v>
      </c>
      <c r="BJ516" t="s">
        <v>5991</v>
      </c>
      <c r="BK516" t="s">
        <v>419</v>
      </c>
      <c r="BL516" t="s">
        <v>5992</v>
      </c>
      <c r="BM516" t="s">
        <v>5993</v>
      </c>
      <c r="BN516" t="s">
        <v>74</v>
      </c>
      <c r="BO516" t="s">
        <v>4015</v>
      </c>
      <c r="BP516" t="s">
        <v>74</v>
      </c>
      <c r="BQ516" t="s">
        <v>74</v>
      </c>
      <c r="BR516" t="s">
        <v>101</v>
      </c>
      <c r="BS516" t="s">
        <v>5994</v>
      </c>
      <c r="BT516" t="str">
        <f>HYPERLINK("https%3A%2F%2Fwww.webofscience.com%2Fwos%2Fwoscc%2Ffull-record%2FWOS:000257268100001","View Full Record in Web of Science")</f>
        <v>View Full Record in Web of Science</v>
      </c>
    </row>
    <row r="517" spans="1:72" x14ac:dyDescent="0.15">
      <c r="A517" t="s">
        <v>72</v>
      </c>
      <c r="B517" t="s">
        <v>5995</v>
      </c>
      <c r="C517" t="s">
        <v>74</v>
      </c>
      <c r="D517" t="s">
        <v>74</v>
      </c>
      <c r="E517" t="s">
        <v>74</v>
      </c>
      <c r="F517" t="s">
        <v>5996</v>
      </c>
      <c r="G517" t="s">
        <v>74</v>
      </c>
      <c r="H517" t="s">
        <v>74</v>
      </c>
      <c r="I517" t="s">
        <v>5997</v>
      </c>
      <c r="J517" t="s">
        <v>5977</v>
      </c>
      <c r="K517" t="s">
        <v>74</v>
      </c>
      <c r="L517" t="s">
        <v>74</v>
      </c>
      <c r="M517" t="s">
        <v>78</v>
      </c>
      <c r="N517" t="s">
        <v>2737</v>
      </c>
      <c r="O517" t="s">
        <v>74</v>
      </c>
      <c r="P517" t="s">
        <v>74</v>
      </c>
      <c r="Q517" t="s">
        <v>74</v>
      </c>
      <c r="R517" t="s">
        <v>74</v>
      </c>
      <c r="S517" t="s">
        <v>74</v>
      </c>
      <c r="T517" t="s">
        <v>74</v>
      </c>
      <c r="U517" t="s">
        <v>5998</v>
      </c>
      <c r="V517" t="s">
        <v>5999</v>
      </c>
      <c r="W517" t="s">
        <v>6000</v>
      </c>
      <c r="X517" t="s">
        <v>6001</v>
      </c>
      <c r="Y517" t="s">
        <v>6002</v>
      </c>
      <c r="Z517" t="s">
        <v>6003</v>
      </c>
      <c r="AA517" t="s">
        <v>74</v>
      </c>
      <c r="AB517" t="s">
        <v>74</v>
      </c>
      <c r="AC517" t="s">
        <v>74</v>
      </c>
      <c r="AD517" t="s">
        <v>74</v>
      </c>
      <c r="AE517" t="s">
        <v>74</v>
      </c>
      <c r="AF517" t="s">
        <v>74</v>
      </c>
      <c r="AG517">
        <v>32</v>
      </c>
      <c r="AH517">
        <v>35</v>
      </c>
      <c r="AI517">
        <v>44</v>
      </c>
      <c r="AJ517">
        <v>0</v>
      </c>
      <c r="AK517">
        <v>20</v>
      </c>
      <c r="AL517" t="s">
        <v>6004</v>
      </c>
      <c r="AM517" t="s">
        <v>6005</v>
      </c>
      <c r="AN517" t="s">
        <v>6006</v>
      </c>
      <c r="AO517" t="s">
        <v>5986</v>
      </c>
      <c r="AP517" t="s">
        <v>5987</v>
      </c>
      <c r="AQ517" t="s">
        <v>74</v>
      </c>
      <c r="AR517" t="s">
        <v>5988</v>
      </c>
      <c r="AS517" t="s">
        <v>5989</v>
      </c>
      <c r="AT517" t="s">
        <v>5893</v>
      </c>
      <c r="AU517">
        <v>2008</v>
      </c>
      <c r="AV517">
        <v>40</v>
      </c>
      <c r="AW517">
        <v>2</v>
      </c>
      <c r="AX517" t="s">
        <v>74</v>
      </c>
      <c r="AY517" t="s">
        <v>74</v>
      </c>
      <c r="AZ517" t="s">
        <v>74</v>
      </c>
      <c r="BA517" t="s">
        <v>74</v>
      </c>
      <c r="BB517">
        <v>279</v>
      </c>
      <c r="BC517">
        <v>286</v>
      </c>
      <c r="BD517" t="s">
        <v>74</v>
      </c>
      <c r="BE517" t="s">
        <v>6007</v>
      </c>
      <c r="BF517" t="str">
        <f>HYPERLINK("http://dx.doi.org/10.1657/1523-0430(06-057)[BOCKHEIM]2.0.CO;2","http://dx.doi.org/10.1657/1523-0430(06-057)[BOCKHEIM]2.0.CO;2")</f>
        <v>http://dx.doi.org/10.1657/1523-0430(06-057)[BOCKHEIM]2.0.CO;2</v>
      </c>
      <c r="BG517" t="s">
        <v>74</v>
      </c>
      <c r="BH517" t="s">
        <v>74</v>
      </c>
      <c r="BI517">
        <v>8</v>
      </c>
      <c r="BJ517" t="s">
        <v>5991</v>
      </c>
      <c r="BK517" t="s">
        <v>419</v>
      </c>
      <c r="BL517" t="s">
        <v>5992</v>
      </c>
      <c r="BM517" t="s">
        <v>5993</v>
      </c>
      <c r="BN517" t="s">
        <v>74</v>
      </c>
      <c r="BO517" t="s">
        <v>4015</v>
      </c>
      <c r="BP517" t="s">
        <v>74</v>
      </c>
      <c r="BQ517" t="s">
        <v>74</v>
      </c>
      <c r="BR517" t="s">
        <v>101</v>
      </c>
      <c r="BS517" t="s">
        <v>6008</v>
      </c>
      <c r="BT517" t="str">
        <f>HYPERLINK("https%3A%2F%2Fwww.webofscience.com%2Fwos%2Fwoscc%2Ffull-record%2FWOS:000257268100002","View Full Record in Web of Science")</f>
        <v>View Full Record in Web of Science</v>
      </c>
    </row>
    <row r="518" spans="1:72" x14ac:dyDescent="0.15">
      <c r="A518" t="s">
        <v>72</v>
      </c>
      <c r="B518" t="s">
        <v>6009</v>
      </c>
      <c r="C518" t="s">
        <v>74</v>
      </c>
      <c r="D518" t="s">
        <v>74</v>
      </c>
      <c r="E518" t="s">
        <v>74</v>
      </c>
      <c r="F518" t="s">
        <v>6010</v>
      </c>
      <c r="G518" t="s">
        <v>74</v>
      </c>
      <c r="H518" t="s">
        <v>74</v>
      </c>
      <c r="I518" t="s">
        <v>6011</v>
      </c>
      <c r="J518" t="s">
        <v>5977</v>
      </c>
      <c r="K518" t="s">
        <v>74</v>
      </c>
      <c r="L518" t="s">
        <v>74</v>
      </c>
      <c r="M518" t="s">
        <v>78</v>
      </c>
      <c r="N518" t="s">
        <v>2737</v>
      </c>
      <c r="O518" t="s">
        <v>74</v>
      </c>
      <c r="P518" t="s">
        <v>74</v>
      </c>
      <c r="Q518" t="s">
        <v>74</v>
      </c>
      <c r="R518" t="s">
        <v>74</v>
      </c>
      <c r="S518" t="s">
        <v>74</v>
      </c>
      <c r="T518" t="s">
        <v>74</v>
      </c>
      <c r="U518" t="s">
        <v>6012</v>
      </c>
      <c r="V518" t="s">
        <v>6013</v>
      </c>
      <c r="W518" t="s">
        <v>6014</v>
      </c>
      <c r="X518" t="s">
        <v>6015</v>
      </c>
      <c r="Y518" t="s">
        <v>6016</v>
      </c>
      <c r="Z518" t="s">
        <v>6017</v>
      </c>
      <c r="AA518" t="s">
        <v>74</v>
      </c>
      <c r="AB518" t="s">
        <v>6018</v>
      </c>
      <c r="AC518" t="s">
        <v>74</v>
      </c>
      <c r="AD518" t="s">
        <v>74</v>
      </c>
      <c r="AE518" t="s">
        <v>74</v>
      </c>
      <c r="AF518" t="s">
        <v>74</v>
      </c>
      <c r="AG518">
        <v>61</v>
      </c>
      <c r="AH518">
        <v>65</v>
      </c>
      <c r="AI518">
        <v>74</v>
      </c>
      <c r="AJ518">
        <v>0</v>
      </c>
      <c r="AK518">
        <v>72</v>
      </c>
      <c r="AL518" t="s">
        <v>2815</v>
      </c>
      <c r="AM518" t="s">
        <v>2816</v>
      </c>
      <c r="AN518" t="s">
        <v>2817</v>
      </c>
      <c r="AO518" t="s">
        <v>5986</v>
      </c>
      <c r="AP518" t="s">
        <v>5987</v>
      </c>
      <c r="AQ518" t="s">
        <v>74</v>
      </c>
      <c r="AR518" t="s">
        <v>5988</v>
      </c>
      <c r="AS518" t="s">
        <v>5989</v>
      </c>
      <c r="AT518" t="s">
        <v>5893</v>
      </c>
      <c r="AU518">
        <v>2008</v>
      </c>
      <c r="AV518">
        <v>40</v>
      </c>
      <c r="AW518">
        <v>2</v>
      </c>
      <c r="AX518" t="s">
        <v>74</v>
      </c>
      <c r="AY518" t="s">
        <v>74</v>
      </c>
      <c r="AZ518" t="s">
        <v>74</v>
      </c>
      <c r="BA518" t="s">
        <v>74</v>
      </c>
      <c r="BB518">
        <v>287</v>
      </c>
      <c r="BC518">
        <v>297</v>
      </c>
      <c r="BD518" t="s">
        <v>74</v>
      </c>
      <c r="BE518" t="s">
        <v>6019</v>
      </c>
      <c r="BF518" t="str">
        <f>HYPERLINK("http://dx.doi.org/10.1657/1523-0430(06-098)[BREEN]2.0.CO;2","http://dx.doi.org/10.1657/1523-0430(06-098)[BREEN]2.0.CO;2")</f>
        <v>http://dx.doi.org/10.1657/1523-0430(06-098)[BREEN]2.0.CO;2</v>
      </c>
      <c r="BG518" t="s">
        <v>74</v>
      </c>
      <c r="BH518" t="s">
        <v>74</v>
      </c>
      <c r="BI518">
        <v>11</v>
      </c>
      <c r="BJ518" t="s">
        <v>5991</v>
      </c>
      <c r="BK518" t="s">
        <v>419</v>
      </c>
      <c r="BL518" t="s">
        <v>5992</v>
      </c>
      <c r="BM518" t="s">
        <v>5993</v>
      </c>
      <c r="BN518" t="s">
        <v>74</v>
      </c>
      <c r="BO518" t="s">
        <v>4015</v>
      </c>
      <c r="BP518" t="s">
        <v>74</v>
      </c>
      <c r="BQ518" t="s">
        <v>74</v>
      </c>
      <c r="BR518" t="s">
        <v>101</v>
      </c>
      <c r="BS518" t="s">
        <v>6020</v>
      </c>
      <c r="BT518" t="str">
        <f>HYPERLINK("https%3A%2F%2Fwww.webofscience.com%2Fwos%2Fwoscc%2Ffull-record%2FWOS:000257268100003","View Full Record in Web of Science")</f>
        <v>View Full Record in Web of Science</v>
      </c>
    </row>
    <row r="519" spans="1:72" x14ac:dyDescent="0.15">
      <c r="A519" t="s">
        <v>72</v>
      </c>
      <c r="B519" t="s">
        <v>6021</v>
      </c>
      <c r="C519" t="s">
        <v>74</v>
      </c>
      <c r="D519" t="s">
        <v>74</v>
      </c>
      <c r="E519" t="s">
        <v>74</v>
      </c>
      <c r="F519" t="s">
        <v>6022</v>
      </c>
      <c r="G519" t="s">
        <v>74</v>
      </c>
      <c r="H519" t="s">
        <v>74</v>
      </c>
      <c r="I519" t="s">
        <v>6023</v>
      </c>
      <c r="J519" t="s">
        <v>5977</v>
      </c>
      <c r="K519" t="s">
        <v>74</v>
      </c>
      <c r="L519" t="s">
        <v>74</v>
      </c>
      <c r="M519" t="s">
        <v>78</v>
      </c>
      <c r="N519" t="s">
        <v>2737</v>
      </c>
      <c r="O519" t="s">
        <v>74</v>
      </c>
      <c r="P519" t="s">
        <v>74</v>
      </c>
      <c r="Q519" t="s">
        <v>74</v>
      </c>
      <c r="R519" t="s">
        <v>74</v>
      </c>
      <c r="S519" t="s">
        <v>74</v>
      </c>
      <c r="T519" t="s">
        <v>74</v>
      </c>
      <c r="U519" t="s">
        <v>6024</v>
      </c>
      <c r="V519" t="s">
        <v>6025</v>
      </c>
      <c r="W519" t="s">
        <v>6026</v>
      </c>
      <c r="X519" t="s">
        <v>6027</v>
      </c>
      <c r="Y519" t="s">
        <v>6028</v>
      </c>
      <c r="Z519" t="s">
        <v>6029</v>
      </c>
      <c r="AA519" t="s">
        <v>74</v>
      </c>
      <c r="AB519" t="s">
        <v>74</v>
      </c>
      <c r="AC519" t="s">
        <v>74</v>
      </c>
      <c r="AD519" t="s">
        <v>74</v>
      </c>
      <c r="AE519" t="s">
        <v>74</v>
      </c>
      <c r="AF519" t="s">
        <v>74</v>
      </c>
      <c r="AG519">
        <v>49</v>
      </c>
      <c r="AH519">
        <v>19</v>
      </c>
      <c r="AI519">
        <v>24</v>
      </c>
      <c r="AJ519">
        <v>1</v>
      </c>
      <c r="AK519">
        <v>32</v>
      </c>
      <c r="AL519" t="s">
        <v>2815</v>
      </c>
      <c r="AM519" t="s">
        <v>2816</v>
      </c>
      <c r="AN519" t="s">
        <v>2817</v>
      </c>
      <c r="AO519" t="s">
        <v>5986</v>
      </c>
      <c r="AP519" t="s">
        <v>5987</v>
      </c>
      <c r="AQ519" t="s">
        <v>74</v>
      </c>
      <c r="AR519" t="s">
        <v>5988</v>
      </c>
      <c r="AS519" t="s">
        <v>5989</v>
      </c>
      <c r="AT519" t="s">
        <v>5893</v>
      </c>
      <c r="AU519">
        <v>2008</v>
      </c>
      <c r="AV519">
        <v>40</v>
      </c>
      <c r="AW519">
        <v>2</v>
      </c>
      <c r="AX519" t="s">
        <v>74</v>
      </c>
      <c r="AY519" t="s">
        <v>74</v>
      </c>
      <c r="AZ519" t="s">
        <v>74</v>
      </c>
      <c r="BA519" t="s">
        <v>74</v>
      </c>
      <c r="BB519">
        <v>298</v>
      </c>
      <c r="BC519">
        <v>308</v>
      </c>
      <c r="BD519" t="s">
        <v>74</v>
      </c>
      <c r="BE519" t="s">
        <v>6030</v>
      </c>
      <c r="BF519" t="str">
        <f>HYPERLINK("http://dx.doi.org/10.1657/1523-0430(06-007)[CONN]2.0.CO;2","http://dx.doi.org/10.1657/1523-0430(06-007)[CONN]2.0.CO;2")</f>
        <v>http://dx.doi.org/10.1657/1523-0430(06-007)[CONN]2.0.CO;2</v>
      </c>
      <c r="BG519" t="s">
        <v>74</v>
      </c>
      <c r="BH519" t="s">
        <v>74</v>
      </c>
      <c r="BI519">
        <v>11</v>
      </c>
      <c r="BJ519" t="s">
        <v>5991</v>
      </c>
      <c r="BK519" t="s">
        <v>419</v>
      </c>
      <c r="BL519" t="s">
        <v>5992</v>
      </c>
      <c r="BM519" t="s">
        <v>5993</v>
      </c>
      <c r="BN519" t="s">
        <v>74</v>
      </c>
      <c r="BO519" t="s">
        <v>3110</v>
      </c>
      <c r="BP519" t="s">
        <v>74</v>
      </c>
      <c r="BQ519" t="s">
        <v>74</v>
      </c>
      <c r="BR519" t="s">
        <v>101</v>
      </c>
      <c r="BS519" t="s">
        <v>6031</v>
      </c>
      <c r="BT519" t="str">
        <f>HYPERLINK("https%3A%2F%2Fwww.webofscience.com%2Fwos%2Fwoscc%2Ffull-record%2FWOS:000257268100004","View Full Record in Web of Science")</f>
        <v>View Full Record in Web of Science</v>
      </c>
    </row>
    <row r="520" spans="1:72" x14ac:dyDescent="0.15">
      <c r="A520" t="s">
        <v>72</v>
      </c>
      <c r="B520" t="s">
        <v>6032</v>
      </c>
      <c r="C520" t="s">
        <v>74</v>
      </c>
      <c r="D520" t="s">
        <v>74</v>
      </c>
      <c r="E520" t="s">
        <v>74</v>
      </c>
      <c r="F520" t="s">
        <v>6033</v>
      </c>
      <c r="G520" t="s">
        <v>74</v>
      </c>
      <c r="H520" t="s">
        <v>74</v>
      </c>
      <c r="I520" t="s">
        <v>6034</v>
      </c>
      <c r="J520" t="s">
        <v>5977</v>
      </c>
      <c r="K520" t="s">
        <v>74</v>
      </c>
      <c r="L520" t="s">
        <v>74</v>
      </c>
      <c r="M520" t="s">
        <v>78</v>
      </c>
      <c r="N520" t="s">
        <v>2737</v>
      </c>
      <c r="O520" t="s">
        <v>74</v>
      </c>
      <c r="P520" t="s">
        <v>74</v>
      </c>
      <c r="Q520" t="s">
        <v>74</v>
      </c>
      <c r="R520" t="s">
        <v>74</v>
      </c>
      <c r="S520" t="s">
        <v>74</v>
      </c>
      <c r="T520" t="s">
        <v>74</v>
      </c>
      <c r="U520" t="s">
        <v>6035</v>
      </c>
      <c r="V520" t="s">
        <v>6036</v>
      </c>
      <c r="W520" t="s">
        <v>6037</v>
      </c>
      <c r="X520" t="s">
        <v>6038</v>
      </c>
      <c r="Y520" t="s">
        <v>6039</v>
      </c>
      <c r="Z520" t="s">
        <v>6040</v>
      </c>
      <c r="AA520" t="s">
        <v>6041</v>
      </c>
      <c r="AB520" t="s">
        <v>6042</v>
      </c>
      <c r="AC520" t="s">
        <v>74</v>
      </c>
      <c r="AD520" t="s">
        <v>74</v>
      </c>
      <c r="AE520" t="s">
        <v>74</v>
      </c>
      <c r="AF520" t="s">
        <v>74</v>
      </c>
      <c r="AG520">
        <v>43</v>
      </c>
      <c r="AH520">
        <v>38</v>
      </c>
      <c r="AI520">
        <v>42</v>
      </c>
      <c r="AJ520">
        <v>1</v>
      </c>
      <c r="AK520">
        <v>37</v>
      </c>
      <c r="AL520" t="s">
        <v>2815</v>
      </c>
      <c r="AM520" t="s">
        <v>2816</v>
      </c>
      <c r="AN520" t="s">
        <v>2817</v>
      </c>
      <c r="AO520" t="s">
        <v>5986</v>
      </c>
      <c r="AP520" t="s">
        <v>5987</v>
      </c>
      <c r="AQ520" t="s">
        <v>74</v>
      </c>
      <c r="AR520" t="s">
        <v>5988</v>
      </c>
      <c r="AS520" t="s">
        <v>5989</v>
      </c>
      <c r="AT520" t="s">
        <v>5893</v>
      </c>
      <c r="AU520">
        <v>2008</v>
      </c>
      <c r="AV520">
        <v>40</v>
      </c>
      <c r="AW520">
        <v>2</v>
      </c>
      <c r="AX520" t="s">
        <v>74</v>
      </c>
      <c r="AY520" t="s">
        <v>74</v>
      </c>
      <c r="AZ520" t="s">
        <v>74</v>
      </c>
      <c r="BA520" t="s">
        <v>74</v>
      </c>
      <c r="BB520">
        <v>309</v>
      </c>
      <c r="BC520">
        <v>322</v>
      </c>
      <c r="BD520" t="s">
        <v>74</v>
      </c>
      <c r="BE520" t="s">
        <v>6043</v>
      </c>
      <c r="BF520" t="str">
        <f>HYPERLINK("http://dx.doi.org/10.1657/1523-0430(06-123)[DOLEZAL]2.0.CO;2","http://dx.doi.org/10.1657/1523-0430(06-123)[DOLEZAL]2.0.CO;2")</f>
        <v>http://dx.doi.org/10.1657/1523-0430(06-123)[DOLEZAL]2.0.CO;2</v>
      </c>
      <c r="BG520" t="s">
        <v>74</v>
      </c>
      <c r="BH520" t="s">
        <v>74</v>
      </c>
      <c r="BI520">
        <v>14</v>
      </c>
      <c r="BJ520" t="s">
        <v>5991</v>
      </c>
      <c r="BK520" t="s">
        <v>419</v>
      </c>
      <c r="BL520" t="s">
        <v>5992</v>
      </c>
      <c r="BM520" t="s">
        <v>5993</v>
      </c>
      <c r="BN520" t="s">
        <v>74</v>
      </c>
      <c r="BO520" t="s">
        <v>3110</v>
      </c>
      <c r="BP520" t="s">
        <v>74</v>
      </c>
      <c r="BQ520" t="s">
        <v>74</v>
      </c>
      <c r="BR520" t="s">
        <v>101</v>
      </c>
      <c r="BS520" t="s">
        <v>6044</v>
      </c>
      <c r="BT520" t="str">
        <f>HYPERLINK("https%3A%2F%2Fwww.webofscience.com%2Fwos%2Fwoscc%2Ffull-record%2FWOS:000257268100005","View Full Record in Web of Science")</f>
        <v>View Full Record in Web of Science</v>
      </c>
    </row>
    <row r="521" spans="1:72" x14ac:dyDescent="0.15">
      <c r="A521" t="s">
        <v>72</v>
      </c>
      <c r="B521" t="s">
        <v>6045</v>
      </c>
      <c r="C521" t="s">
        <v>74</v>
      </c>
      <c r="D521" t="s">
        <v>74</v>
      </c>
      <c r="E521" t="s">
        <v>74</v>
      </c>
      <c r="F521" t="s">
        <v>6046</v>
      </c>
      <c r="G521" t="s">
        <v>74</v>
      </c>
      <c r="H521" t="s">
        <v>74</v>
      </c>
      <c r="I521" t="s">
        <v>6047</v>
      </c>
      <c r="J521" t="s">
        <v>5977</v>
      </c>
      <c r="K521" t="s">
        <v>74</v>
      </c>
      <c r="L521" t="s">
        <v>74</v>
      </c>
      <c r="M521" t="s">
        <v>78</v>
      </c>
      <c r="N521" t="s">
        <v>2737</v>
      </c>
      <c r="O521" t="s">
        <v>74</v>
      </c>
      <c r="P521" t="s">
        <v>74</v>
      </c>
      <c r="Q521" t="s">
        <v>74</v>
      </c>
      <c r="R521" t="s">
        <v>74</v>
      </c>
      <c r="S521" t="s">
        <v>74</v>
      </c>
      <c r="T521" t="s">
        <v>74</v>
      </c>
      <c r="U521" t="s">
        <v>6048</v>
      </c>
      <c r="V521" t="s">
        <v>6049</v>
      </c>
      <c r="W521" t="s">
        <v>6050</v>
      </c>
      <c r="X521" t="s">
        <v>6051</v>
      </c>
      <c r="Y521" t="s">
        <v>6052</v>
      </c>
      <c r="Z521" t="s">
        <v>6053</v>
      </c>
      <c r="AA521" t="s">
        <v>74</v>
      </c>
      <c r="AB521" t="s">
        <v>6054</v>
      </c>
      <c r="AC521" t="s">
        <v>74</v>
      </c>
      <c r="AD521" t="s">
        <v>74</v>
      </c>
      <c r="AE521" t="s">
        <v>74</v>
      </c>
      <c r="AF521" t="s">
        <v>74</v>
      </c>
      <c r="AG521">
        <v>33</v>
      </c>
      <c r="AH521">
        <v>60</v>
      </c>
      <c r="AI521">
        <v>68</v>
      </c>
      <c r="AJ521">
        <v>0</v>
      </c>
      <c r="AK521">
        <v>24</v>
      </c>
      <c r="AL521" t="s">
        <v>2815</v>
      </c>
      <c r="AM521" t="s">
        <v>2816</v>
      </c>
      <c r="AN521" t="s">
        <v>2817</v>
      </c>
      <c r="AO521" t="s">
        <v>5986</v>
      </c>
      <c r="AP521" t="s">
        <v>5987</v>
      </c>
      <c r="AQ521" t="s">
        <v>74</v>
      </c>
      <c r="AR521" t="s">
        <v>5988</v>
      </c>
      <c r="AS521" t="s">
        <v>5989</v>
      </c>
      <c r="AT521" t="s">
        <v>5893</v>
      </c>
      <c r="AU521">
        <v>2008</v>
      </c>
      <c r="AV521">
        <v>40</v>
      </c>
      <c r="AW521">
        <v>2</v>
      </c>
      <c r="AX521" t="s">
        <v>74</v>
      </c>
      <c r="AY521" t="s">
        <v>74</v>
      </c>
      <c r="AZ521" t="s">
        <v>74</v>
      </c>
      <c r="BA521" t="s">
        <v>74</v>
      </c>
      <c r="BB521">
        <v>323</v>
      </c>
      <c r="BC521">
        <v>334</v>
      </c>
      <c r="BD521" t="s">
        <v>74</v>
      </c>
      <c r="BE521" t="s">
        <v>6055</v>
      </c>
      <c r="BF521" t="str">
        <f>HYPERLINK("http://dx.doi.org/10.1657/1523-0430(06-127)[DUANE]2.0.CO;2","http://dx.doi.org/10.1657/1523-0430(06-127)[DUANE]2.0.CO;2")</f>
        <v>http://dx.doi.org/10.1657/1523-0430(06-127)[DUANE]2.0.CO;2</v>
      </c>
      <c r="BG521" t="s">
        <v>74</v>
      </c>
      <c r="BH521" t="s">
        <v>74</v>
      </c>
      <c r="BI521">
        <v>12</v>
      </c>
      <c r="BJ521" t="s">
        <v>5991</v>
      </c>
      <c r="BK521" t="s">
        <v>419</v>
      </c>
      <c r="BL521" t="s">
        <v>5992</v>
      </c>
      <c r="BM521" t="s">
        <v>5993</v>
      </c>
      <c r="BN521" t="s">
        <v>74</v>
      </c>
      <c r="BO521" t="s">
        <v>3110</v>
      </c>
      <c r="BP521" t="s">
        <v>74</v>
      </c>
      <c r="BQ521" t="s">
        <v>74</v>
      </c>
      <c r="BR521" t="s">
        <v>101</v>
      </c>
      <c r="BS521" t="s">
        <v>6056</v>
      </c>
      <c r="BT521" t="str">
        <f>HYPERLINK("https%3A%2F%2Fwww.webofscience.com%2Fwos%2Fwoscc%2Ffull-record%2FWOS:000257268100006","View Full Record in Web of Science")</f>
        <v>View Full Record in Web of Science</v>
      </c>
    </row>
    <row r="522" spans="1:72" x14ac:dyDescent="0.15">
      <c r="A522" t="s">
        <v>72</v>
      </c>
      <c r="B522" t="s">
        <v>6057</v>
      </c>
      <c r="C522" t="s">
        <v>74</v>
      </c>
      <c r="D522" t="s">
        <v>74</v>
      </c>
      <c r="E522" t="s">
        <v>74</v>
      </c>
      <c r="F522" t="s">
        <v>6058</v>
      </c>
      <c r="G522" t="s">
        <v>74</v>
      </c>
      <c r="H522" t="s">
        <v>74</v>
      </c>
      <c r="I522" t="s">
        <v>6059</v>
      </c>
      <c r="J522" t="s">
        <v>5977</v>
      </c>
      <c r="K522" t="s">
        <v>74</v>
      </c>
      <c r="L522" t="s">
        <v>74</v>
      </c>
      <c r="M522" t="s">
        <v>78</v>
      </c>
      <c r="N522" t="s">
        <v>2737</v>
      </c>
      <c r="O522" t="s">
        <v>74</v>
      </c>
      <c r="P522" t="s">
        <v>74</v>
      </c>
      <c r="Q522" t="s">
        <v>74</v>
      </c>
      <c r="R522" t="s">
        <v>74</v>
      </c>
      <c r="S522" t="s">
        <v>74</v>
      </c>
      <c r="T522" t="s">
        <v>74</v>
      </c>
      <c r="U522" t="s">
        <v>6060</v>
      </c>
      <c r="V522" t="s">
        <v>6061</v>
      </c>
      <c r="W522" t="s">
        <v>6062</v>
      </c>
      <c r="X522" t="s">
        <v>6063</v>
      </c>
      <c r="Y522" t="s">
        <v>6064</v>
      </c>
      <c r="Z522" t="s">
        <v>6065</v>
      </c>
      <c r="AA522" t="s">
        <v>74</v>
      </c>
      <c r="AB522" t="s">
        <v>74</v>
      </c>
      <c r="AC522" t="s">
        <v>74</v>
      </c>
      <c r="AD522" t="s">
        <v>74</v>
      </c>
      <c r="AE522" t="s">
        <v>74</v>
      </c>
      <c r="AF522" t="s">
        <v>74</v>
      </c>
      <c r="AG522">
        <v>49</v>
      </c>
      <c r="AH522">
        <v>15</v>
      </c>
      <c r="AI522">
        <v>15</v>
      </c>
      <c r="AJ522">
        <v>7</v>
      </c>
      <c r="AK522">
        <v>32</v>
      </c>
      <c r="AL522" t="s">
        <v>6004</v>
      </c>
      <c r="AM522" t="s">
        <v>6005</v>
      </c>
      <c r="AN522" t="s">
        <v>6006</v>
      </c>
      <c r="AO522" t="s">
        <v>5986</v>
      </c>
      <c r="AP522" t="s">
        <v>5987</v>
      </c>
      <c r="AQ522" t="s">
        <v>74</v>
      </c>
      <c r="AR522" t="s">
        <v>5988</v>
      </c>
      <c r="AS522" t="s">
        <v>5989</v>
      </c>
      <c r="AT522" t="s">
        <v>5893</v>
      </c>
      <c r="AU522">
        <v>2008</v>
      </c>
      <c r="AV522">
        <v>40</v>
      </c>
      <c r="AW522">
        <v>2</v>
      </c>
      <c r="AX522" t="s">
        <v>74</v>
      </c>
      <c r="AY522" t="s">
        <v>74</v>
      </c>
      <c r="AZ522" t="s">
        <v>74</v>
      </c>
      <c r="BA522" t="s">
        <v>74</v>
      </c>
      <c r="BB522">
        <v>335</v>
      </c>
      <c r="BC522">
        <v>342</v>
      </c>
      <c r="BD522" t="s">
        <v>74</v>
      </c>
      <c r="BE522" t="s">
        <v>6066</v>
      </c>
      <c r="BF522" t="str">
        <f>HYPERLINK("http://dx.doi.org/10.1657/1523-0430(07-013)[ENDO]2.0.CO;2","http://dx.doi.org/10.1657/1523-0430(07-013)[ENDO]2.0.CO;2")</f>
        <v>http://dx.doi.org/10.1657/1523-0430(07-013)[ENDO]2.0.CO;2</v>
      </c>
      <c r="BG522" t="s">
        <v>74</v>
      </c>
      <c r="BH522" t="s">
        <v>74</v>
      </c>
      <c r="BI522">
        <v>8</v>
      </c>
      <c r="BJ522" t="s">
        <v>5991</v>
      </c>
      <c r="BK522" t="s">
        <v>419</v>
      </c>
      <c r="BL522" t="s">
        <v>5992</v>
      </c>
      <c r="BM522" t="s">
        <v>5993</v>
      </c>
      <c r="BN522" t="s">
        <v>74</v>
      </c>
      <c r="BO522" t="s">
        <v>3110</v>
      </c>
      <c r="BP522" t="s">
        <v>74</v>
      </c>
      <c r="BQ522" t="s">
        <v>74</v>
      </c>
      <c r="BR522" t="s">
        <v>101</v>
      </c>
      <c r="BS522" t="s">
        <v>6067</v>
      </c>
      <c r="BT522" t="str">
        <f>HYPERLINK("https%3A%2F%2Fwww.webofscience.com%2Fwos%2Fwoscc%2Ffull-record%2FWOS:000257268100007","View Full Record in Web of Science")</f>
        <v>View Full Record in Web of Science</v>
      </c>
    </row>
    <row r="523" spans="1:72" x14ac:dyDescent="0.15">
      <c r="A523" t="s">
        <v>72</v>
      </c>
      <c r="B523" t="s">
        <v>6068</v>
      </c>
      <c r="C523" t="s">
        <v>74</v>
      </c>
      <c r="D523" t="s">
        <v>74</v>
      </c>
      <c r="E523" t="s">
        <v>74</v>
      </c>
      <c r="F523" t="s">
        <v>6069</v>
      </c>
      <c r="G523" t="s">
        <v>74</v>
      </c>
      <c r="H523" t="s">
        <v>74</v>
      </c>
      <c r="I523" t="s">
        <v>6070</v>
      </c>
      <c r="J523" t="s">
        <v>5977</v>
      </c>
      <c r="K523" t="s">
        <v>74</v>
      </c>
      <c r="L523" t="s">
        <v>74</v>
      </c>
      <c r="M523" t="s">
        <v>78</v>
      </c>
      <c r="N523" t="s">
        <v>2737</v>
      </c>
      <c r="O523" t="s">
        <v>74</v>
      </c>
      <c r="P523" t="s">
        <v>74</v>
      </c>
      <c r="Q523" t="s">
        <v>74</v>
      </c>
      <c r="R523" t="s">
        <v>74</v>
      </c>
      <c r="S523" t="s">
        <v>74</v>
      </c>
      <c r="T523" t="s">
        <v>74</v>
      </c>
      <c r="U523" t="s">
        <v>6071</v>
      </c>
      <c r="V523" t="s">
        <v>6072</v>
      </c>
      <c r="W523" t="s">
        <v>6073</v>
      </c>
      <c r="X523" t="s">
        <v>6074</v>
      </c>
      <c r="Y523" t="s">
        <v>6075</v>
      </c>
      <c r="Z523" t="s">
        <v>6076</v>
      </c>
      <c r="AA523" t="s">
        <v>6077</v>
      </c>
      <c r="AB523" t="s">
        <v>6078</v>
      </c>
      <c r="AC523" t="s">
        <v>74</v>
      </c>
      <c r="AD523" t="s">
        <v>74</v>
      </c>
      <c r="AE523" t="s">
        <v>74</v>
      </c>
      <c r="AF523" t="s">
        <v>74</v>
      </c>
      <c r="AG523">
        <v>64</v>
      </c>
      <c r="AH523">
        <v>13</v>
      </c>
      <c r="AI523">
        <v>17</v>
      </c>
      <c r="AJ523">
        <v>0</v>
      </c>
      <c r="AK523">
        <v>30</v>
      </c>
      <c r="AL523" t="s">
        <v>2815</v>
      </c>
      <c r="AM523" t="s">
        <v>2816</v>
      </c>
      <c r="AN523" t="s">
        <v>2817</v>
      </c>
      <c r="AO523" t="s">
        <v>5986</v>
      </c>
      <c r="AP523" t="s">
        <v>5987</v>
      </c>
      <c r="AQ523" t="s">
        <v>74</v>
      </c>
      <c r="AR523" t="s">
        <v>5988</v>
      </c>
      <c r="AS523" t="s">
        <v>5989</v>
      </c>
      <c r="AT523" t="s">
        <v>5893</v>
      </c>
      <c r="AU523">
        <v>2008</v>
      </c>
      <c r="AV523">
        <v>40</v>
      </c>
      <c r="AW523">
        <v>2</v>
      </c>
      <c r="AX523" t="s">
        <v>74</v>
      </c>
      <c r="AY523" t="s">
        <v>74</v>
      </c>
      <c r="AZ523" t="s">
        <v>74</v>
      </c>
      <c r="BA523" t="s">
        <v>74</v>
      </c>
      <c r="BB523">
        <v>343</v>
      </c>
      <c r="BC523">
        <v>354</v>
      </c>
      <c r="BD523" t="s">
        <v>74</v>
      </c>
      <c r="BE523" t="s">
        <v>6079</v>
      </c>
      <c r="BF523" t="str">
        <f>HYPERLINK("http://dx.doi.org/10.1657/1523-0430(06-117)[HARTSOUGH]2.0.CO;2","http://dx.doi.org/10.1657/1523-0430(06-117)[HARTSOUGH]2.0.CO;2")</f>
        <v>http://dx.doi.org/10.1657/1523-0430(06-117)[HARTSOUGH]2.0.CO;2</v>
      </c>
      <c r="BG523" t="s">
        <v>74</v>
      </c>
      <c r="BH523" t="s">
        <v>74</v>
      </c>
      <c r="BI523">
        <v>12</v>
      </c>
      <c r="BJ523" t="s">
        <v>5991</v>
      </c>
      <c r="BK523" t="s">
        <v>419</v>
      </c>
      <c r="BL523" t="s">
        <v>5992</v>
      </c>
      <c r="BM523" t="s">
        <v>5993</v>
      </c>
      <c r="BN523" t="s">
        <v>74</v>
      </c>
      <c r="BO523" t="s">
        <v>3110</v>
      </c>
      <c r="BP523" t="s">
        <v>74</v>
      </c>
      <c r="BQ523" t="s">
        <v>74</v>
      </c>
      <c r="BR523" t="s">
        <v>101</v>
      </c>
      <c r="BS523" t="s">
        <v>6080</v>
      </c>
      <c r="BT523" t="str">
        <f>HYPERLINK("https%3A%2F%2Fwww.webofscience.com%2Fwos%2Fwoscc%2Ffull-record%2FWOS:000257268100008","View Full Record in Web of Science")</f>
        <v>View Full Record in Web of Science</v>
      </c>
    </row>
    <row r="524" spans="1:72" x14ac:dyDescent="0.15">
      <c r="A524" t="s">
        <v>72</v>
      </c>
      <c r="B524" t="s">
        <v>6081</v>
      </c>
      <c r="C524" t="s">
        <v>74</v>
      </c>
      <c r="D524" t="s">
        <v>74</v>
      </c>
      <c r="E524" t="s">
        <v>74</v>
      </c>
      <c r="F524" t="s">
        <v>6082</v>
      </c>
      <c r="G524" t="s">
        <v>74</v>
      </c>
      <c r="H524" t="s">
        <v>74</v>
      </c>
      <c r="I524" t="s">
        <v>6083</v>
      </c>
      <c r="J524" t="s">
        <v>5977</v>
      </c>
      <c r="K524" t="s">
        <v>74</v>
      </c>
      <c r="L524" t="s">
        <v>74</v>
      </c>
      <c r="M524" t="s">
        <v>78</v>
      </c>
      <c r="N524" t="s">
        <v>2737</v>
      </c>
      <c r="O524" t="s">
        <v>74</v>
      </c>
      <c r="P524" t="s">
        <v>74</v>
      </c>
      <c r="Q524" t="s">
        <v>74</v>
      </c>
      <c r="R524" t="s">
        <v>74</v>
      </c>
      <c r="S524" t="s">
        <v>74</v>
      </c>
      <c r="T524" t="s">
        <v>74</v>
      </c>
      <c r="U524" t="s">
        <v>6084</v>
      </c>
      <c r="V524" t="s">
        <v>6085</v>
      </c>
      <c r="W524" t="s">
        <v>6086</v>
      </c>
      <c r="X524" t="s">
        <v>6087</v>
      </c>
      <c r="Y524" t="s">
        <v>6088</v>
      </c>
      <c r="Z524" t="s">
        <v>6089</v>
      </c>
      <c r="AA524" t="s">
        <v>74</v>
      </c>
      <c r="AB524" t="s">
        <v>74</v>
      </c>
      <c r="AC524" t="s">
        <v>74</v>
      </c>
      <c r="AD524" t="s">
        <v>74</v>
      </c>
      <c r="AE524" t="s">
        <v>74</v>
      </c>
      <c r="AF524" t="s">
        <v>74</v>
      </c>
      <c r="AG524">
        <v>34</v>
      </c>
      <c r="AH524">
        <v>17</v>
      </c>
      <c r="AI524">
        <v>18</v>
      </c>
      <c r="AJ524">
        <v>0</v>
      </c>
      <c r="AK524">
        <v>21</v>
      </c>
      <c r="AL524" t="s">
        <v>6004</v>
      </c>
      <c r="AM524" t="s">
        <v>6005</v>
      </c>
      <c r="AN524" t="s">
        <v>6006</v>
      </c>
      <c r="AO524" t="s">
        <v>5986</v>
      </c>
      <c r="AP524" t="s">
        <v>5987</v>
      </c>
      <c r="AQ524" t="s">
        <v>74</v>
      </c>
      <c r="AR524" t="s">
        <v>5988</v>
      </c>
      <c r="AS524" t="s">
        <v>5989</v>
      </c>
      <c r="AT524" t="s">
        <v>5893</v>
      </c>
      <c r="AU524">
        <v>2008</v>
      </c>
      <c r="AV524">
        <v>40</v>
      </c>
      <c r="AW524">
        <v>2</v>
      </c>
      <c r="AX524" t="s">
        <v>74</v>
      </c>
      <c r="AY524" t="s">
        <v>74</v>
      </c>
      <c r="AZ524" t="s">
        <v>74</v>
      </c>
      <c r="BA524" t="s">
        <v>74</v>
      </c>
      <c r="BB524">
        <v>355</v>
      </c>
      <c r="BC524">
        <v>363</v>
      </c>
      <c r="BD524" t="s">
        <v>74</v>
      </c>
      <c r="BE524" t="s">
        <v>6090</v>
      </c>
      <c r="BF524" t="str">
        <f>HYPERLINK("http://dx.doi.org/10.1657/1523-0430(07-038)[HOHAM]2.0.CO;2","http://dx.doi.org/10.1657/1523-0430(07-038)[HOHAM]2.0.CO;2")</f>
        <v>http://dx.doi.org/10.1657/1523-0430(07-038)[HOHAM]2.0.CO;2</v>
      </c>
      <c r="BG524" t="s">
        <v>74</v>
      </c>
      <c r="BH524" t="s">
        <v>74</v>
      </c>
      <c r="BI524">
        <v>9</v>
      </c>
      <c r="BJ524" t="s">
        <v>5991</v>
      </c>
      <c r="BK524" t="s">
        <v>419</v>
      </c>
      <c r="BL524" t="s">
        <v>5992</v>
      </c>
      <c r="BM524" t="s">
        <v>5993</v>
      </c>
      <c r="BN524" t="s">
        <v>74</v>
      </c>
      <c r="BO524" t="s">
        <v>3110</v>
      </c>
      <c r="BP524" t="s">
        <v>74</v>
      </c>
      <c r="BQ524" t="s">
        <v>74</v>
      </c>
      <c r="BR524" t="s">
        <v>101</v>
      </c>
      <c r="BS524" t="s">
        <v>6091</v>
      </c>
      <c r="BT524" t="str">
        <f>HYPERLINK("https%3A%2F%2Fwww.webofscience.com%2Fwos%2Fwoscc%2Ffull-record%2FWOS:000257268100009","View Full Record in Web of Science")</f>
        <v>View Full Record in Web of Science</v>
      </c>
    </row>
    <row r="525" spans="1:72" x14ac:dyDescent="0.15">
      <c r="A525" t="s">
        <v>72</v>
      </c>
      <c r="B525" t="s">
        <v>6092</v>
      </c>
      <c r="C525" t="s">
        <v>74</v>
      </c>
      <c r="D525" t="s">
        <v>74</v>
      </c>
      <c r="E525" t="s">
        <v>74</v>
      </c>
      <c r="F525" t="s">
        <v>6093</v>
      </c>
      <c r="G525" t="s">
        <v>74</v>
      </c>
      <c r="H525" t="s">
        <v>74</v>
      </c>
      <c r="I525" t="s">
        <v>6094</v>
      </c>
      <c r="J525" t="s">
        <v>5977</v>
      </c>
      <c r="K525" t="s">
        <v>74</v>
      </c>
      <c r="L525" t="s">
        <v>74</v>
      </c>
      <c r="M525" t="s">
        <v>78</v>
      </c>
      <c r="N525" t="s">
        <v>2737</v>
      </c>
      <c r="O525" t="s">
        <v>74</v>
      </c>
      <c r="P525" t="s">
        <v>74</v>
      </c>
      <c r="Q525" t="s">
        <v>74</v>
      </c>
      <c r="R525" t="s">
        <v>74</v>
      </c>
      <c r="S525" t="s">
        <v>74</v>
      </c>
      <c r="T525" t="s">
        <v>74</v>
      </c>
      <c r="U525" t="s">
        <v>6095</v>
      </c>
      <c r="V525" t="s">
        <v>6096</v>
      </c>
      <c r="W525" t="s">
        <v>6097</v>
      </c>
      <c r="X525" t="s">
        <v>6098</v>
      </c>
      <c r="Y525" t="s">
        <v>6099</v>
      </c>
      <c r="Z525" t="s">
        <v>6100</v>
      </c>
      <c r="AA525" t="s">
        <v>6101</v>
      </c>
      <c r="AB525" t="s">
        <v>6102</v>
      </c>
      <c r="AC525" t="s">
        <v>74</v>
      </c>
      <c r="AD525" t="s">
        <v>74</v>
      </c>
      <c r="AE525" t="s">
        <v>74</v>
      </c>
      <c r="AF525" t="s">
        <v>74</v>
      </c>
      <c r="AG525">
        <v>49</v>
      </c>
      <c r="AH525">
        <v>46</v>
      </c>
      <c r="AI525">
        <v>57</v>
      </c>
      <c r="AJ525">
        <v>1</v>
      </c>
      <c r="AK525">
        <v>26</v>
      </c>
      <c r="AL525" t="s">
        <v>6004</v>
      </c>
      <c r="AM525" t="s">
        <v>6005</v>
      </c>
      <c r="AN525" t="s">
        <v>6006</v>
      </c>
      <c r="AO525" t="s">
        <v>5986</v>
      </c>
      <c r="AP525" t="s">
        <v>74</v>
      </c>
      <c r="AQ525" t="s">
        <v>74</v>
      </c>
      <c r="AR525" t="s">
        <v>5988</v>
      </c>
      <c r="AS525" t="s">
        <v>5989</v>
      </c>
      <c r="AT525" t="s">
        <v>5893</v>
      </c>
      <c r="AU525">
        <v>2008</v>
      </c>
      <c r="AV525">
        <v>40</v>
      </c>
      <c r="AW525">
        <v>2</v>
      </c>
      <c r="AX525" t="s">
        <v>74</v>
      </c>
      <c r="AY525" t="s">
        <v>74</v>
      </c>
      <c r="AZ525" t="s">
        <v>74</v>
      </c>
      <c r="BA525" t="s">
        <v>74</v>
      </c>
      <c r="BB525">
        <v>364</v>
      </c>
      <c r="BC525">
        <v>372</v>
      </c>
      <c r="BD525" t="s">
        <v>74</v>
      </c>
      <c r="BE525" t="s">
        <v>6103</v>
      </c>
      <c r="BF525" t="str">
        <f>HYPERLINK("http://dx.doi.org/10.1657/1523-0430(06-068)[KEATLEY]2.0.CO;2","http://dx.doi.org/10.1657/1523-0430(06-068)[KEATLEY]2.0.CO;2")</f>
        <v>http://dx.doi.org/10.1657/1523-0430(06-068)[KEATLEY]2.0.CO;2</v>
      </c>
      <c r="BG525" t="s">
        <v>74</v>
      </c>
      <c r="BH525" t="s">
        <v>74</v>
      </c>
      <c r="BI525">
        <v>9</v>
      </c>
      <c r="BJ525" t="s">
        <v>5991</v>
      </c>
      <c r="BK525" t="s">
        <v>419</v>
      </c>
      <c r="BL525" t="s">
        <v>5992</v>
      </c>
      <c r="BM525" t="s">
        <v>5993</v>
      </c>
      <c r="BN525" t="s">
        <v>74</v>
      </c>
      <c r="BO525" t="s">
        <v>6104</v>
      </c>
      <c r="BP525" t="s">
        <v>74</v>
      </c>
      <c r="BQ525" t="s">
        <v>74</v>
      </c>
      <c r="BR525" t="s">
        <v>101</v>
      </c>
      <c r="BS525" t="s">
        <v>6105</v>
      </c>
      <c r="BT525" t="str">
        <f>HYPERLINK("https%3A%2F%2Fwww.webofscience.com%2Fwos%2Fwoscc%2Ffull-record%2FWOS:000257268100010","View Full Record in Web of Science")</f>
        <v>View Full Record in Web of Science</v>
      </c>
    </row>
    <row r="526" spans="1:72" x14ac:dyDescent="0.15">
      <c r="A526" t="s">
        <v>72</v>
      </c>
      <c r="B526" t="s">
        <v>6106</v>
      </c>
      <c r="C526" t="s">
        <v>74</v>
      </c>
      <c r="D526" t="s">
        <v>74</v>
      </c>
      <c r="E526" t="s">
        <v>74</v>
      </c>
      <c r="F526" t="s">
        <v>6107</v>
      </c>
      <c r="G526" t="s">
        <v>74</v>
      </c>
      <c r="H526" t="s">
        <v>74</v>
      </c>
      <c r="I526" t="s">
        <v>6108</v>
      </c>
      <c r="J526" t="s">
        <v>5977</v>
      </c>
      <c r="K526" t="s">
        <v>74</v>
      </c>
      <c r="L526" t="s">
        <v>74</v>
      </c>
      <c r="M526" t="s">
        <v>78</v>
      </c>
      <c r="N526" t="s">
        <v>2737</v>
      </c>
      <c r="O526" t="s">
        <v>74</v>
      </c>
      <c r="P526" t="s">
        <v>74</v>
      </c>
      <c r="Q526" t="s">
        <v>74</v>
      </c>
      <c r="R526" t="s">
        <v>74</v>
      </c>
      <c r="S526" t="s">
        <v>74</v>
      </c>
      <c r="T526" t="s">
        <v>74</v>
      </c>
      <c r="U526" t="s">
        <v>6109</v>
      </c>
      <c r="V526" t="s">
        <v>6110</v>
      </c>
      <c r="W526" t="s">
        <v>6111</v>
      </c>
      <c r="X526" t="s">
        <v>6112</v>
      </c>
      <c r="Y526" t="s">
        <v>6113</v>
      </c>
      <c r="Z526" t="s">
        <v>6114</v>
      </c>
      <c r="AA526" t="s">
        <v>6115</v>
      </c>
      <c r="AB526" t="s">
        <v>6116</v>
      </c>
      <c r="AC526" t="s">
        <v>74</v>
      </c>
      <c r="AD526" t="s">
        <v>74</v>
      </c>
      <c r="AE526" t="s">
        <v>74</v>
      </c>
      <c r="AF526" t="s">
        <v>74</v>
      </c>
      <c r="AG526">
        <v>66</v>
      </c>
      <c r="AH526">
        <v>28</v>
      </c>
      <c r="AI526">
        <v>33</v>
      </c>
      <c r="AJ526">
        <v>1</v>
      </c>
      <c r="AK526">
        <v>58</v>
      </c>
      <c r="AL526" t="s">
        <v>2815</v>
      </c>
      <c r="AM526" t="s">
        <v>2816</v>
      </c>
      <c r="AN526" t="s">
        <v>2817</v>
      </c>
      <c r="AO526" t="s">
        <v>5986</v>
      </c>
      <c r="AP526" t="s">
        <v>5987</v>
      </c>
      <c r="AQ526" t="s">
        <v>74</v>
      </c>
      <c r="AR526" t="s">
        <v>5988</v>
      </c>
      <c r="AS526" t="s">
        <v>5989</v>
      </c>
      <c r="AT526" t="s">
        <v>5893</v>
      </c>
      <c r="AU526">
        <v>2008</v>
      </c>
      <c r="AV526">
        <v>40</v>
      </c>
      <c r="AW526">
        <v>2</v>
      </c>
      <c r="AX526" t="s">
        <v>74</v>
      </c>
      <c r="AY526" t="s">
        <v>74</v>
      </c>
      <c r="AZ526" t="s">
        <v>74</v>
      </c>
      <c r="BA526" t="s">
        <v>74</v>
      </c>
      <c r="BB526">
        <v>373</v>
      </c>
      <c r="BC526">
        <v>381</v>
      </c>
      <c r="BD526" t="s">
        <v>74</v>
      </c>
      <c r="BE526" t="s">
        <v>6117</v>
      </c>
      <c r="BF526" t="str">
        <f>HYPERLINK("http://dx.doi.org/10.1657/1523-0430(06-097)[LOEFFLER]2.0.CO;2","http://dx.doi.org/10.1657/1523-0430(06-097)[LOEFFLER]2.0.CO;2")</f>
        <v>http://dx.doi.org/10.1657/1523-0430(06-097)[LOEFFLER]2.0.CO;2</v>
      </c>
      <c r="BG526" t="s">
        <v>74</v>
      </c>
      <c r="BH526" t="s">
        <v>74</v>
      </c>
      <c r="BI526">
        <v>9</v>
      </c>
      <c r="BJ526" t="s">
        <v>5991</v>
      </c>
      <c r="BK526" t="s">
        <v>419</v>
      </c>
      <c r="BL526" t="s">
        <v>5992</v>
      </c>
      <c r="BM526" t="s">
        <v>5993</v>
      </c>
      <c r="BN526" t="s">
        <v>74</v>
      </c>
      <c r="BO526" t="s">
        <v>4015</v>
      </c>
      <c r="BP526" t="s">
        <v>74</v>
      </c>
      <c r="BQ526" t="s">
        <v>74</v>
      </c>
      <c r="BR526" t="s">
        <v>101</v>
      </c>
      <c r="BS526" t="s">
        <v>6118</v>
      </c>
      <c r="BT526" t="str">
        <f>HYPERLINK("https%3A%2F%2Fwww.webofscience.com%2Fwos%2Fwoscc%2Ffull-record%2FWOS:000257268100011","View Full Record in Web of Science")</f>
        <v>View Full Record in Web of Science</v>
      </c>
    </row>
    <row r="527" spans="1:72" x14ac:dyDescent="0.15">
      <c r="A527" t="s">
        <v>72</v>
      </c>
      <c r="B527" t="s">
        <v>6119</v>
      </c>
      <c r="C527" t="s">
        <v>74</v>
      </c>
      <c r="D527" t="s">
        <v>74</v>
      </c>
      <c r="E527" t="s">
        <v>74</v>
      </c>
      <c r="F527" t="s">
        <v>6120</v>
      </c>
      <c r="G527" t="s">
        <v>74</v>
      </c>
      <c r="H527" t="s">
        <v>74</v>
      </c>
      <c r="I527" t="s">
        <v>6121</v>
      </c>
      <c r="J527" t="s">
        <v>5977</v>
      </c>
      <c r="K527" t="s">
        <v>74</v>
      </c>
      <c r="L527" t="s">
        <v>74</v>
      </c>
      <c r="M527" t="s">
        <v>78</v>
      </c>
      <c r="N527" t="s">
        <v>2737</v>
      </c>
      <c r="O527" t="s">
        <v>74</v>
      </c>
      <c r="P527" t="s">
        <v>74</v>
      </c>
      <c r="Q527" t="s">
        <v>74</v>
      </c>
      <c r="R527" t="s">
        <v>74</v>
      </c>
      <c r="S527" t="s">
        <v>74</v>
      </c>
      <c r="T527" t="s">
        <v>74</v>
      </c>
      <c r="U527" t="s">
        <v>6122</v>
      </c>
      <c r="V527" t="s">
        <v>6123</v>
      </c>
      <c r="W527" t="s">
        <v>6124</v>
      </c>
      <c r="X527" t="s">
        <v>6125</v>
      </c>
      <c r="Y527" t="s">
        <v>6126</v>
      </c>
      <c r="Z527" t="s">
        <v>6127</v>
      </c>
      <c r="AA527" t="s">
        <v>74</v>
      </c>
      <c r="AB527" t="s">
        <v>74</v>
      </c>
      <c r="AC527" t="s">
        <v>74</v>
      </c>
      <c r="AD527" t="s">
        <v>74</v>
      </c>
      <c r="AE527" t="s">
        <v>74</v>
      </c>
      <c r="AF527" t="s">
        <v>74</v>
      </c>
      <c r="AG527">
        <v>35</v>
      </c>
      <c r="AH527">
        <v>20</v>
      </c>
      <c r="AI527">
        <v>21</v>
      </c>
      <c r="AJ527">
        <v>0</v>
      </c>
      <c r="AK527">
        <v>19</v>
      </c>
      <c r="AL527" t="s">
        <v>2815</v>
      </c>
      <c r="AM527" t="s">
        <v>2816</v>
      </c>
      <c r="AN527" t="s">
        <v>2817</v>
      </c>
      <c r="AO527" t="s">
        <v>5986</v>
      </c>
      <c r="AP527" t="s">
        <v>5987</v>
      </c>
      <c r="AQ527" t="s">
        <v>74</v>
      </c>
      <c r="AR527" t="s">
        <v>5988</v>
      </c>
      <c r="AS527" t="s">
        <v>5989</v>
      </c>
      <c r="AT527" t="s">
        <v>5893</v>
      </c>
      <c r="AU527">
        <v>2008</v>
      </c>
      <c r="AV527">
        <v>40</v>
      </c>
      <c r="AW527">
        <v>2</v>
      </c>
      <c r="AX527" t="s">
        <v>74</v>
      </c>
      <c r="AY527" t="s">
        <v>74</v>
      </c>
      <c r="AZ527" t="s">
        <v>74</v>
      </c>
      <c r="BA527" t="s">
        <v>74</v>
      </c>
      <c r="BB527">
        <v>382</v>
      </c>
      <c r="BC527">
        <v>395</v>
      </c>
      <c r="BD527" t="s">
        <v>74</v>
      </c>
      <c r="BE527" t="s">
        <v>6128</v>
      </c>
      <c r="BF527" t="str">
        <f>HYPERLINK("http://dx.doi.org/10.1657/1523-0430(07-031)[MOEN]2.0.CO;2","http://dx.doi.org/10.1657/1523-0430(07-031)[MOEN]2.0.CO;2")</f>
        <v>http://dx.doi.org/10.1657/1523-0430(07-031)[MOEN]2.0.CO;2</v>
      </c>
      <c r="BG527" t="s">
        <v>74</v>
      </c>
      <c r="BH527" t="s">
        <v>74</v>
      </c>
      <c r="BI527">
        <v>14</v>
      </c>
      <c r="BJ527" t="s">
        <v>5991</v>
      </c>
      <c r="BK527" t="s">
        <v>419</v>
      </c>
      <c r="BL527" t="s">
        <v>5992</v>
      </c>
      <c r="BM527" t="s">
        <v>5993</v>
      </c>
      <c r="BN527" t="s">
        <v>74</v>
      </c>
      <c r="BO527" t="s">
        <v>3110</v>
      </c>
      <c r="BP527" t="s">
        <v>74</v>
      </c>
      <c r="BQ527" t="s">
        <v>74</v>
      </c>
      <c r="BR527" t="s">
        <v>101</v>
      </c>
      <c r="BS527" t="s">
        <v>6129</v>
      </c>
      <c r="BT527" t="str">
        <f>HYPERLINK("https%3A%2F%2Fwww.webofscience.com%2Fwos%2Fwoscc%2Ffull-record%2FWOS:000257268100012","View Full Record in Web of Science")</f>
        <v>View Full Record in Web of Science</v>
      </c>
    </row>
    <row r="528" spans="1:72" x14ac:dyDescent="0.15">
      <c r="A528" t="s">
        <v>72</v>
      </c>
      <c r="B528" t="s">
        <v>6130</v>
      </c>
      <c r="C528" t="s">
        <v>74</v>
      </c>
      <c r="D528" t="s">
        <v>74</v>
      </c>
      <c r="E528" t="s">
        <v>74</v>
      </c>
      <c r="F528" t="s">
        <v>6131</v>
      </c>
      <c r="G528" t="s">
        <v>74</v>
      </c>
      <c r="H528" t="s">
        <v>74</v>
      </c>
      <c r="I528" t="s">
        <v>6132</v>
      </c>
      <c r="J528" t="s">
        <v>5977</v>
      </c>
      <c r="K528" t="s">
        <v>74</v>
      </c>
      <c r="L528" t="s">
        <v>74</v>
      </c>
      <c r="M528" t="s">
        <v>78</v>
      </c>
      <c r="N528" t="s">
        <v>2737</v>
      </c>
      <c r="O528" t="s">
        <v>74</v>
      </c>
      <c r="P528" t="s">
        <v>74</v>
      </c>
      <c r="Q528" t="s">
        <v>74</v>
      </c>
      <c r="R528" t="s">
        <v>74</v>
      </c>
      <c r="S528" t="s">
        <v>74</v>
      </c>
      <c r="T528" t="s">
        <v>74</v>
      </c>
      <c r="U528" t="s">
        <v>6133</v>
      </c>
      <c r="V528" t="s">
        <v>6134</v>
      </c>
      <c r="W528" t="s">
        <v>6135</v>
      </c>
      <c r="X528" t="s">
        <v>6136</v>
      </c>
      <c r="Y528" t="s">
        <v>6137</v>
      </c>
      <c r="Z528" t="s">
        <v>6138</v>
      </c>
      <c r="AA528" t="s">
        <v>74</v>
      </c>
      <c r="AB528" t="s">
        <v>74</v>
      </c>
      <c r="AC528" t="s">
        <v>74</v>
      </c>
      <c r="AD528" t="s">
        <v>74</v>
      </c>
      <c r="AE528" t="s">
        <v>74</v>
      </c>
      <c r="AF528" t="s">
        <v>74</v>
      </c>
      <c r="AG528">
        <v>66</v>
      </c>
      <c r="AH528">
        <v>26</v>
      </c>
      <c r="AI528">
        <v>30</v>
      </c>
      <c r="AJ528">
        <v>0</v>
      </c>
      <c r="AK528">
        <v>16</v>
      </c>
      <c r="AL528" t="s">
        <v>6004</v>
      </c>
      <c r="AM528" t="s">
        <v>6005</v>
      </c>
      <c r="AN528" t="s">
        <v>6006</v>
      </c>
      <c r="AO528" t="s">
        <v>5986</v>
      </c>
      <c r="AP528" t="s">
        <v>74</v>
      </c>
      <c r="AQ528" t="s">
        <v>74</v>
      </c>
      <c r="AR528" t="s">
        <v>5988</v>
      </c>
      <c r="AS528" t="s">
        <v>5989</v>
      </c>
      <c r="AT528" t="s">
        <v>5893</v>
      </c>
      <c r="AU528">
        <v>2008</v>
      </c>
      <c r="AV528">
        <v>40</v>
      </c>
      <c r="AW528">
        <v>2</v>
      </c>
      <c r="AX528" t="s">
        <v>74</v>
      </c>
      <c r="AY528" t="s">
        <v>74</v>
      </c>
      <c r="AZ528" t="s">
        <v>74</v>
      </c>
      <c r="BA528" t="s">
        <v>74</v>
      </c>
      <c r="BB528">
        <v>396</v>
      </c>
      <c r="BC528">
        <v>411</v>
      </c>
      <c r="BD528" t="s">
        <v>74</v>
      </c>
      <c r="BE528" t="s">
        <v>6139</v>
      </c>
      <c r="BF528" t="str">
        <f>HYPERLINK("http://dx.doi.org/10.1657/1523-0430(07-022)[MUHS]2.0.CO;2","http://dx.doi.org/10.1657/1523-0430(07-022)[MUHS]2.0.CO;2")</f>
        <v>http://dx.doi.org/10.1657/1523-0430(07-022)[MUHS]2.0.CO;2</v>
      </c>
      <c r="BG528" t="s">
        <v>74</v>
      </c>
      <c r="BH528" t="s">
        <v>74</v>
      </c>
      <c r="BI528">
        <v>16</v>
      </c>
      <c r="BJ528" t="s">
        <v>5991</v>
      </c>
      <c r="BK528" t="s">
        <v>419</v>
      </c>
      <c r="BL528" t="s">
        <v>5992</v>
      </c>
      <c r="BM528" t="s">
        <v>5993</v>
      </c>
      <c r="BN528" t="s">
        <v>74</v>
      </c>
      <c r="BO528" t="s">
        <v>3110</v>
      </c>
      <c r="BP528" t="s">
        <v>74</v>
      </c>
      <c r="BQ528" t="s">
        <v>74</v>
      </c>
      <c r="BR528" t="s">
        <v>101</v>
      </c>
      <c r="BS528" t="s">
        <v>6140</v>
      </c>
      <c r="BT528" t="str">
        <f>HYPERLINK("https%3A%2F%2Fwww.webofscience.com%2Fwos%2Fwoscc%2Ffull-record%2FWOS:000257268100013","View Full Record in Web of Science")</f>
        <v>View Full Record in Web of Science</v>
      </c>
    </row>
    <row r="529" spans="1:72" x14ac:dyDescent="0.15">
      <c r="A529" t="s">
        <v>72</v>
      </c>
      <c r="B529" t="s">
        <v>6141</v>
      </c>
      <c r="C529" t="s">
        <v>74</v>
      </c>
      <c r="D529" t="s">
        <v>74</v>
      </c>
      <c r="E529" t="s">
        <v>74</v>
      </c>
      <c r="F529" t="s">
        <v>6142</v>
      </c>
      <c r="G529" t="s">
        <v>74</v>
      </c>
      <c r="H529" t="s">
        <v>74</v>
      </c>
      <c r="I529" t="s">
        <v>6143</v>
      </c>
      <c r="J529" t="s">
        <v>5977</v>
      </c>
      <c r="K529" t="s">
        <v>74</v>
      </c>
      <c r="L529" t="s">
        <v>74</v>
      </c>
      <c r="M529" t="s">
        <v>78</v>
      </c>
      <c r="N529" t="s">
        <v>2737</v>
      </c>
      <c r="O529" t="s">
        <v>74</v>
      </c>
      <c r="P529" t="s">
        <v>74</v>
      </c>
      <c r="Q529" t="s">
        <v>74</v>
      </c>
      <c r="R529" t="s">
        <v>74</v>
      </c>
      <c r="S529" t="s">
        <v>74</v>
      </c>
      <c r="T529" t="s">
        <v>74</v>
      </c>
      <c r="U529" t="s">
        <v>6144</v>
      </c>
      <c r="V529" t="s">
        <v>6145</v>
      </c>
      <c r="W529" t="s">
        <v>6146</v>
      </c>
      <c r="X529" t="s">
        <v>6147</v>
      </c>
      <c r="Y529" t="s">
        <v>6148</v>
      </c>
      <c r="Z529" t="s">
        <v>6149</v>
      </c>
      <c r="AA529" t="s">
        <v>74</v>
      </c>
      <c r="AB529" t="s">
        <v>74</v>
      </c>
      <c r="AC529" t="s">
        <v>74</v>
      </c>
      <c r="AD529" t="s">
        <v>74</v>
      </c>
      <c r="AE529" t="s">
        <v>74</v>
      </c>
      <c r="AF529" t="s">
        <v>74</v>
      </c>
      <c r="AG529">
        <v>62</v>
      </c>
      <c r="AH529">
        <v>26</v>
      </c>
      <c r="AI529">
        <v>32</v>
      </c>
      <c r="AJ529">
        <v>0</v>
      </c>
      <c r="AK529">
        <v>50</v>
      </c>
      <c r="AL529" t="s">
        <v>2815</v>
      </c>
      <c r="AM529" t="s">
        <v>2816</v>
      </c>
      <c r="AN529" t="s">
        <v>2817</v>
      </c>
      <c r="AO529" t="s">
        <v>5986</v>
      </c>
      <c r="AP529" t="s">
        <v>5987</v>
      </c>
      <c r="AQ529" t="s">
        <v>74</v>
      </c>
      <c r="AR529" t="s">
        <v>5988</v>
      </c>
      <c r="AS529" t="s">
        <v>5989</v>
      </c>
      <c r="AT529" t="s">
        <v>5893</v>
      </c>
      <c r="AU529">
        <v>2008</v>
      </c>
      <c r="AV529">
        <v>40</v>
      </c>
      <c r="AW529">
        <v>2</v>
      </c>
      <c r="AX529" t="s">
        <v>74</v>
      </c>
      <c r="AY529" t="s">
        <v>74</v>
      </c>
      <c r="AZ529" t="s">
        <v>74</v>
      </c>
      <c r="BA529" t="s">
        <v>74</v>
      </c>
      <c r="BB529">
        <v>412</v>
      </c>
      <c r="BC529">
        <v>421</v>
      </c>
      <c r="BD529" t="s">
        <v>74</v>
      </c>
      <c r="BE529" t="s">
        <v>6150</v>
      </c>
      <c r="BF529" t="str">
        <f>HYPERLINK("http://dx.doi.org/10.1657/1523-0430(06-076)[ORRADOTTIR]2.0.CO;2","http://dx.doi.org/10.1657/1523-0430(06-076)[ORRADOTTIR]2.0.CO;2")</f>
        <v>http://dx.doi.org/10.1657/1523-0430(06-076)[ORRADOTTIR]2.0.CO;2</v>
      </c>
      <c r="BG529" t="s">
        <v>74</v>
      </c>
      <c r="BH529" t="s">
        <v>74</v>
      </c>
      <c r="BI529">
        <v>10</v>
      </c>
      <c r="BJ529" t="s">
        <v>5991</v>
      </c>
      <c r="BK529" t="s">
        <v>419</v>
      </c>
      <c r="BL529" t="s">
        <v>5992</v>
      </c>
      <c r="BM529" t="s">
        <v>5993</v>
      </c>
      <c r="BN529" t="s">
        <v>74</v>
      </c>
      <c r="BO529" t="s">
        <v>3110</v>
      </c>
      <c r="BP529" t="s">
        <v>74</v>
      </c>
      <c r="BQ529" t="s">
        <v>74</v>
      </c>
      <c r="BR529" t="s">
        <v>101</v>
      </c>
      <c r="BS529" t="s">
        <v>6151</v>
      </c>
      <c r="BT529" t="str">
        <f>HYPERLINK("https%3A%2F%2Fwww.webofscience.com%2Fwos%2Fwoscc%2Ffull-record%2FWOS:000257268100014","View Full Record in Web of Science")</f>
        <v>View Full Record in Web of Science</v>
      </c>
    </row>
    <row r="530" spans="1:72" x14ac:dyDescent="0.15">
      <c r="A530" t="s">
        <v>72</v>
      </c>
      <c r="B530" t="s">
        <v>6152</v>
      </c>
      <c r="C530" t="s">
        <v>74</v>
      </c>
      <c r="D530" t="s">
        <v>74</v>
      </c>
      <c r="E530" t="s">
        <v>74</v>
      </c>
      <c r="F530" t="s">
        <v>6153</v>
      </c>
      <c r="G530" t="s">
        <v>74</v>
      </c>
      <c r="H530" t="s">
        <v>74</v>
      </c>
      <c r="I530" t="s">
        <v>6154</v>
      </c>
      <c r="J530" t="s">
        <v>5977</v>
      </c>
      <c r="K530" t="s">
        <v>74</v>
      </c>
      <c r="L530" t="s">
        <v>74</v>
      </c>
      <c r="M530" t="s">
        <v>78</v>
      </c>
      <c r="N530" t="s">
        <v>2737</v>
      </c>
      <c r="O530" t="s">
        <v>74</v>
      </c>
      <c r="P530" t="s">
        <v>74</v>
      </c>
      <c r="Q530" t="s">
        <v>74</v>
      </c>
      <c r="R530" t="s">
        <v>74</v>
      </c>
      <c r="S530" t="s">
        <v>74</v>
      </c>
      <c r="T530" t="s">
        <v>74</v>
      </c>
      <c r="U530" t="s">
        <v>6155</v>
      </c>
      <c r="V530" t="s">
        <v>6156</v>
      </c>
      <c r="W530" t="s">
        <v>6157</v>
      </c>
      <c r="X530" t="s">
        <v>6158</v>
      </c>
      <c r="Y530" t="s">
        <v>6159</v>
      </c>
      <c r="Z530" t="s">
        <v>6160</v>
      </c>
      <c r="AA530" t="s">
        <v>6161</v>
      </c>
      <c r="AB530" t="s">
        <v>6162</v>
      </c>
      <c r="AC530" t="s">
        <v>74</v>
      </c>
      <c r="AD530" t="s">
        <v>74</v>
      </c>
      <c r="AE530" t="s">
        <v>74</v>
      </c>
      <c r="AF530" t="s">
        <v>74</v>
      </c>
      <c r="AG530">
        <v>48</v>
      </c>
      <c r="AH530">
        <v>33</v>
      </c>
      <c r="AI530">
        <v>37</v>
      </c>
      <c r="AJ530">
        <v>6</v>
      </c>
      <c r="AK530">
        <v>66</v>
      </c>
      <c r="AL530" t="s">
        <v>2815</v>
      </c>
      <c r="AM530" t="s">
        <v>2816</v>
      </c>
      <c r="AN530" t="s">
        <v>2817</v>
      </c>
      <c r="AO530" t="s">
        <v>5986</v>
      </c>
      <c r="AP530" t="s">
        <v>5987</v>
      </c>
      <c r="AQ530" t="s">
        <v>74</v>
      </c>
      <c r="AR530" t="s">
        <v>5988</v>
      </c>
      <c r="AS530" t="s">
        <v>5989</v>
      </c>
      <c r="AT530" t="s">
        <v>5893</v>
      </c>
      <c r="AU530">
        <v>2008</v>
      </c>
      <c r="AV530">
        <v>40</v>
      </c>
      <c r="AW530">
        <v>2</v>
      </c>
      <c r="AX530" t="s">
        <v>74</v>
      </c>
      <c r="AY530" t="s">
        <v>74</v>
      </c>
      <c r="AZ530" t="s">
        <v>74</v>
      </c>
      <c r="BA530" t="s">
        <v>74</v>
      </c>
      <c r="BB530">
        <v>422</v>
      </c>
      <c r="BC530">
        <v>431</v>
      </c>
      <c r="BD530" t="s">
        <v>74</v>
      </c>
      <c r="BE530" t="s">
        <v>6163</v>
      </c>
      <c r="BF530" t="str">
        <f>HYPERLINK("http://dx.doi.org/10.1657/1523-0430(07-035)[SUSILUOTO]2.0.CO;2","http://dx.doi.org/10.1657/1523-0430(07-035)[SUSILUOTO]2.0.CO;2")</f>
        <v>http://dx.doi.org/10.1657/1523-0430(07-035)[SUSILUOTO]2.0.CO;2</v>
      </c>
      <c r="BG530" t="s">
        <v>74</v>
      </c>
      <c r="BH530" t="s">
        <v>74</v>
      </c>
      <c r="BI530">
        <v>10</v>
      </c>
      <c r="BJ530" t="s">
        <v>5991</v>
      </c>
      <c r="BK530" t="s">
        <v>419</v>
      </c>
      <c r="BL530" t="s">
        <v>5992</v>
      </c>
      <c r="BM530" t="s">
        <v>5993</v>
      </c>
      <c r="BN530" t="s">
        <v>74</v>
      </c>
      <c r="BO530" t="s">
        <v>3110</v>
      </c>
      <c r="BP530" t="s">
        <v>74</v>
      </c>
      <c r="BQ530" t="s">
        <v>74</v>
      </c>
      <c r="BR530" t="s">
        <v>101</v>
      </c>
      <c r="BS530" t="s">
        <v>6164</v>
      </c>
      <c r="BT530" t="str">
        <f>HYPERLINK("https%3A%2F%2Fwww.webofscience.com%2Fwos%2Fwoscc%2Ffull-record%2FWOS:000257268100015","View Full Record in Web of Science")</f>
        <v>View Full Record in Web of Science</v>
      </c>
    </row>
    <row r="531" spans="1:72" x14ac:dyDescent="0.15">
      <c r="A531" t="s">
        <v>72</v>
      </c>
      <c r="B531" t="s">
        <v>6165</v>
      </c>
      <c r="C531" t="s">
        <v>74</v>
      </c>
      <c r="D531" t="s">
        <v>74</v>
      </c>
      <c r="E531" t="s">
        <v>74</v>
      </c>
      <c r="F531" t="s">
        <v>6166</v>
      </c>
      <c r="G531" t="s">
        <v>74</v>
      </c>
      <c r="H531" t="s">
        <v>74</v>
      </c>
      <c r="I531" t="s">
        <v>6167</v>
      </c>
      <c r="J531" t="s">
        <v>5977</v>
      </c>
      <c r="K531" t="s">
        <v>74</v>
      </c>
      <c r="L531" t="s">
        <v>74</v>
      </c>
      <c r="M531" t="s">
        <v>78</v>
      </c>
      <c r="N531" t="s">
        <v>2737</v>
      </c>
      <c r="O531" t="s">
        <v>74</v>
      </c>
      <c r="P531" t="s">
        <v>74</v>
      </c>
      <c r="Q531" t="s">
        <v>74</v>
      </c>
      <c r="R531" t="s">
        <v>74</v>
      </c>
      <c r="S531" t="s">
        <v>74</v>
      </c>
      <c r="T531" t="s">
        <v>74</v>
      </c>
      <c r="U531" t="s">
        <v>6168</v>
      </c>
      <c r="V531" t="s">
        <v>6169</v>
      </c>
      <c r="W531" t="s">
        <v>6170</v>
      </c>
      <c r="X531" t="s">
        <v>6171</v>
      </c>
      <c r="Y531" t="s">
        <v>6172</v>
      </c>
      <c r="Z531" t="s">
        <v>6173</v>
      </c>
      <c r="AA531" t="s">
        <v>6174</v>
      </c>
      <c r="AB531" t="s">
        <v>6175</v>
      </c>
      <c r="AC531" t="s">
        <v>74</v>
      </c>
      <c r="AD531" t="s">
        <v>74</v>
      </c>
      <c r="AE531" t="s">
        <v>74</v>
      </c>
      <c r="AF531" t="s">
        <v>74</v>
      </c>
      <c r="AG531">
        <v>21</v>
      </c>
      <c r="AH531">
        <v>67</v>
      </c>
      <c r="AI531">
        <v>74</v>
      </c>
      <c r="AJ531">
        <v>0</v>
      </c>
      <c r="AK531">
        <v>24</v>
      </c>
      <c r="AL531" t="s">
        <v>2815</v>
      </c>
      <c r="AM531" t="s">
        <v>2816</v>
      </c>
      <c r="AN531" t="s">
        <v>2817</v>
      </c>
      <c r="AO531" t="s">
        <v>5986</v>
      </c>
      <c r="AP531" t="s">
        <v>5987</v>
      </c>
      <c r="AQ531" t="s">
        <v>74</v>
      </c>
      <c r="AR531" t="s">
        <v>5988</v>
      </c>
      <c r="AS531" t="s">
        <v>5989</v>
      </c>
      <c r="AT531" t="s">
        <v>5893</v>
      </c>
      <c r="AU531">
        <v>2008</v>
      </c>
      <c r="AV531">
        <v>40</v>
      </c>
      <c r="AW531">
        <v>2</v>
      </c>
      <c r="AX531" t="s">
        <v>74</v>
      </c>
      <c r="AY531" t="s">
        <v>74</v>
      </c>
      <c r="AZ531" t="s">
        <v>74</v>
      </c>
      <c r="BA531" t="s">
        <v>74</v>
      </c>
      <c r="BB531">
        <v>432</v>
      </c>
      <c r="BC531">
        <v>438</v>
      </c>
      <c r="BD531" t="s">
        <v>74</v>
      </c>
      <c r="BE531" t="s">
        <v>6176</v>
      </c>
      <c r="BF531" t="str">
        <f>HYPERLINK("http://dx.doi.org/10.1657/1523-0430(07-021)[BROEKE]2.0.CO;2","http://dx.doi.org/10.1657/1523-0430(07-021)[BROEKE]2.0.CO;2")</f>
        <v>http://dx.doi.org/10.1657/1523-0430(07-021)[BROEKE]2.0.CO;2</v>
      </c>
      <c r="BG531" t="s">
        <v>74</v>
      </c>
      <c r="BH531" t="s">
        <v>74</v>
      </c>
      <c r="BI531">
        <v>7</v>
      </c>
      <c r="BJ531" t="s">
        <v>5991</v>
      </c>
      <c r="BK531" t="s">
        <v>419</v>
      </c>
      <c r="BL531" t="s">
        <v>5992</v>
      </c>
      <c r="BM531" t="s">
        <v>5993</v>
      </c>
      <c r="BN531" t="s">
        <v>74</v>
      </c>
      <c r="BO531" t="s">
        <v>3110</v>
      </c>
      <c r="BP531" t="s">
        <v>74</v>
      </c>
      <c r="BQ531" t="s">
        <v>74</v>
      </c>
      <c r="BR531" t="s">
        <v>101</v>
      </c>
      <c r="BS531" t="s">
        <v>6177</v>
      </c>
      <c r="BT531" t="str">
        <f>HYPERLINK("https%3A%2F%2Fwww.webofscience.com%2Fwos%2Fwoscc%2Ffull-record%2FWOS:000257268100016","View Full Record in Web of Science")</f>
        <v>View Full Record in Web of Science</v>
      </c>
    </row>
    <row r="532" spans="1:72" x14ac:dyDescent="0.15">
      <c r="A532" t="s">
        <v>72</v>
      </c>
      <c r="B532" t="s">
        <v>6178</v>
      </c>
      <c r="C532" t="s">
        <v>74</v>
      </c>
      <c r="D532" t="s">
        <v>74</v>
      </c>
      <c r="E532" t="s">
        <v>74</v>
      </c>
      <c r="F532" t="s">
        <v>6179</v>
      </c>
      <c r="G532" t="s">
        <v>74</v>
      </c>
      <c r="H532" t="s">
        <v>74</v>
      </c>
      <c r="I532" t="s">
        <v>6180</v>
      </c>
      <c r="J532" t="s">
        <v>5977</v>
      </c>
      <c r="K532" t="s">
        <v>74</v>
      </c>
      <c r="L532" t="s">
        <v>74</v>
      </c>
      <c r="M532" t="s">
        <v>78</v>
      </c>
      <c r="N532" t="s">
        <v>2737</v>
      </c>
      <c r="O532" t="s">
        <v>74</v>
      </c>
      <c r="P532" t="s">
        <v>74</v>
      </c>
      <c r="Q532" t="s">
        <v>74</v>
      </c>
      <c r="R532" t="s">
        <v>74</v>
      </c>
      <c r="S532" t="s">
        <v>74</v>
      </c>
      <c r="T532" t="s">
        <v>74</v>
      </c>
      <c r="U532" t="s">
        <v>6181</v>
      </c>
      <c r="V532" t="s">
        <v>6182</v>
      </c>
      <c r="W532" t="s">
        <v>6183</v>
      </c>
      <c r="X532" t="s">
        <v>6184</v>
      </c>
      <c r="Y532" t="s">
        <v>6185</v>
      </c>
      <c r="Z532" t="s">
        <v>6186</v>
      </c>
      <c r="AA532" t="s">
        <v>6187</v>
      </c>
      <c r="AB532" t="s">
        <v>6188</v>
      </c>
      <c r="AC532" t="s">
        <v>6189</v>
      </c>
      <c r="AD532" t="s">
        <v>6190</v>
      </c>
      <c r="AE532" t="s">
        <v>74</v>
      </c>
      <c r="AF532" t="s">
        <v>74</v>
      </c>
      <c r="AG532">
        <v>53</v>
      </c>
      <c r="AH532">
        <v>38</v>
      </c>
      <c r="AI532">
        <v>39</v>
      </c>
      <c r="AJ532">
        <v>1</v>
      </c>
      <c r="AK532">
        <v>21</v>
      </c>
      <c r="AL532" t="s">
        <v>6004</v>
      </c>
      <c r="AM532" t="s">
        <v>6005</v>
      </c>
      <c r="AN532" t="s">
        <v>6006</v>
      </c>
      <c r="AO532" t="s">
        <v>5986</v>
      </c>
      <c r="AP532" t="s">
        <v>74</v>
      </c>
      <c r="AQ532" t="s">
        <v>74</v>
      </c>
      <c r="AR532" t="s">
        <v>5988</v>
      </c>
      <c r="AS532" t="s">
        <v>5989</v>
      </c>
      <c r="AT532" t="s">
        <v>5893</v>
      </c>
      <c r="AU532">
        <v>2008</v>
      </c>
      <c r="AV532">
        <v>40</v>
      </c>
      <c r="AW532">
        <v>2</v>
      </c>
      <c r="AX532" t="s">
        <v>74</v>
      </c>
      <c r="AY532" t="s">
        <v>74</v>
      </c>
      <c r="AZ532" t="s">
        <v>74</v>
      </c>
      <c r="BA532" t="s">
        <v>74</v>
      </c>
      <c r="BB532">
        <v>439</v>
      </c>
      <c r="BC532">
        <v>445</v>
      </c>
      <c r="BD532" t="s">
        <v>74</v>
      </c>
      <c r="BE532" t="s">
        <v>6191</v>
      </c>
      <c r="BF532" t="str">
        <f>HYPERLINK("http://dx.doi.org/10.1657/1523-0430(07-039)[WIESER]2.0.CO;2","http://dx.doi.org/10.1657/1523-0430(07-039)[WIESER]2.0.CO;2")</f>
        <v>http://dx.doi.org/10.1657/1523-0430(07-039)[WIESER]2.0.CO;2</v>
      </c>
      <c r="BG532" t="s">
        <v>74</v>
      </c>
      <c r="BH532" t="s">
        <v>74</v>
      </c>
      <c r="BI532">
        <v>7</v>
      </c>
      <c r="BJ532" t="s">
        <v>5991</v>
      </c>
      <c r="BK532" t="s">
        <v>419</v>
      </c>
      <c r="BL532" t="s">
        <v>5992</v>
      </c>
      <c r="BM532" t="s">
        <v>5993</v>
      </c>
      <c r="BN532">
        <v>24348098</v>
      </c>
      <c r="BO532" t="s">
        <v>4388</v>
      </c>
      <c r="BP532" t="s">
        <v>74</v>
      </c>
      <c r="BQ532" t="s">
        <v>74</v>
      </c>
      <c r="BR532" t="s">
        <v>101</v>
      </c>
      <c r="BS532" t="s">
        <v>6192</v>
      </c>
      <c r="BT532" t="str">
        <f>HYPERLINK("https%3A%2F%2Fwww.webofscience.com%2Fwos%2Fwoscc%2Ffull-record%2FWOS:000257268100017","View Full Record in Web of Science")</f>
        <v>View Full Record in Web of Science</v>
      </c>
    </row>
    <row r="533" spans="1:72" x14ac:dyDescent="0.15">
      <c r="A533" t="s">
        <v>72</v>
      </c>
      <c r="B533" t="s">
        <v>6193</v>
      </c>
      <c r="C533" t="s">
        <v>74</v>
      </c>
      <c r="D533" t="s">
        <v>74</v>
      </c>
      <c r="E533" t="s">
        <v>74</v>
      </c>
      <c r="F533" t="s">
        <v>6194</v>
      </c>
      <c r="G533" t="s">
        <v>74</v>
      </c>
      <c r="H533" t="s">
        <v>74</v>
      </c>
      <c r="I533" t="s">
        <v>6195</v>
      </c>
      <c r="J533" t="s">
        <v>6196</v>
      </c>
      <c r="K533" t="s">
        <v>74</v>
      </c>
      <c r="L533" t="s">
        <v>74</v>
      </c>
      <c r="M533" t="s">
        <v>78</v>
      </c>
      <c r="N533" t="s">
        <v>2737</v>
      </c>
      <c r="O533" t="s">
        <v>74</v>
      </c>
      <c r="P533" t="s">
        <v>74</v>
      </c>
      <c r="Q533" t="s">
        <v>74</v>
      </c>
      <c r="R533" t="s">
        <v>74</v>
      </c>
      <c r="S533" t="s">
        <v>74</v>
      </c>
      <c r="T533" t="s">
        <v>6197</v>
      </c>
      <c r="U533" t="s">
        <v>6198</v>
      </c>
      <c r="V533" t="s">
        <v>6199</v>
      </c>
      <c r="W533" t="s">
        <v>6200</v>
      </c>
      <c r="X533" t="s">
        <v>6201</v>
      </c>
      <c r="Y533" t="s">
        <v>6202</v>
      </c>
      <c r="Z533" t="s">
        <v>6203</v>
      </c>
      <c r="AA533" t="s">
        <v>6204</v>
      </c>
      <c r="AB533" t="s">
        <v>6205</v>
      </c>
      <c r="AC533" t="s">
        <v>74</v>
      </c>
      <c r="AD533" t="s">
        <v>74</v>
      </c>
      <c r="AE533" t="s">
        <v>74</v>
      </c>
      <c r="AF533" t="s">
        <v>74</v>
      </c>
      <c r="AG533">
        <v>57</v>
      </c>
      <c r="AH533">
        <v>16</v>
      </c>
      <c r="AI533">
        <v>18</v>
      </c>
      <c r="AJ533">
        <v>0</v>
      </c>
      <c r="AK533">
        <v>16</v>
      </c>
      <c r="AL533" t="s">
        <v>6206</v>
      </c>
      <c r="AM533" t="s">
        <v>3008</v>
      </c>
      <c r="AN533" t="s">
        <v>6207</v>
      </c>
      <c r="AO533" t="s">
        <v>6208</v>
      </c>
      <c r="AP533" t="s">
        <v>6209</v>
      </c>
      <c r="AQ533" t="s">
        <v>74</v>
      </c>
      <c r="AR533" t="s">
        <v>6210</v>
      </c>
      <c r="AS533" t="s">
        <v>6211</v>
      </c>
      <c r="AT533" t="s">
        <v>5893</v>
      </c>
      <c r="AU533">
        <v>2008</v>
      </c>
      <c r="AV533">
        <v>141</v>
      </c>
      <c r="AW533">
        <v>5</v>
      </c>
      <c r="AX533" t="s">
        <v>74</v>
      </c>
      <c r="AY533" t="s">
        <v>74</v>
      </c>
      <c r="AZ533" t="s">
        <v>74</v>
      </c>
      <c r="BA533" t="s">
        <v>74</v>
      </c>
      <c r="BB533">
        <v>1354</v>
      </c>
      <c r="BC533">
        <v>1364</v>
      </c>
      <c r="BD533" t="s">
        <v>74</v>
      </c>
      <c r="BE533" t="s">
        <v>6212</v>
      </c>
      <c r="BF533" t="str">
        <f>HYPERLINK("http://dx.doi.org/10.1016/j.biocon.2008.03.003","http://dx.doi.org/10.1016/j.biocon.2008.03.003")</f>
        <v>http://dx.doi.org/10.1016/j.biocon.2008.03.003</v>
      </c>
      <c r="BG533" t="s">
        <v>74</v>
      </c>
      <c r="BH533" t="s">
        <v>74</v>
      </c>
      <c r="BI533">
        <v>11</v>
      </c>
      <c r="BJ533" t="s">
        <v>6213</v>
      </c>
      <c r="BK533" t="s">
        <v>419</v>
      </c>
      <c r="BL533" t="s">
        <v>2896</v>
      </c>
      <c r="BM533" t="s">
        <v>6214</v>
      </c>
      <c r="BN533" t="s">
        <v>74</v>
      </c>
      <c r="BO533" t="s">
        <v>74</v>
      </c>
      <c r="BP533" t="s">
        <v>74</v>
      </c>
      <c r="BQ533" t="s">
        <v>74</v>
      </c>
      <c r="BR533" t="s">
        <v>101</v>
      </c>
      <c r="BS533" t="s">
        <v>6215</v>
      </c>
      <c r="BT533" t="str">
        <f>HYPERLINK("https%3A%2F%2Fwww.webofscience.com%2Fwos%2Fwoscc%2Ffull-record%2FWOS:000257008400018","View Full Record in Web of Science")</f>
        <v>View Full Record in Web of Science</v>
      </c>
    </row>
    <row r="534" spans="1:72" x14ac:dyDescent="0.15">
      <c r="A534" t="s">
        <v>72</v>
      </c>
      <c r="B534" t="s">
        <v>6216</v>
      </c>
      <c r="C534" t="s">
        <v>74</v>
      </c>
      <c r="D534" t="s">
        <v>74</v>
      </c>
      <c r="E534" t="s">
        <v>74</v>
      </c>
      <c r="F534" t="s">
        <v>6217</v>
      </c>
      <c r="G534" t="s">
        <v>74</v>
      </c>
      <c r="H534" t="s">
        <v>74</v>
      </c>
      <c r="I534" t="s">
        <v>6218</v>
      </c>
      <c r="J534" t="s">
        <v>6219</v>
      </c>
      <c r="K534" t="s">
        <v>74</v>
      </c>
      <c r="L534" t="s">
        <v>74</v>
      </c>
      <c r="M534" t="s">
        <v>78</v>
      </c>
      <c r="N534" t="s">
        <v>2958</v>
      </c>
      <c r="O534" t="s">
        <v>74</v>
      </c>
      <c r="P534" t="s">
        <v>74</v>
      </c>
      <c r="Q534" t="s">
        <v>74</v>
      </c>
      <c r="R534" t="s">
        <v>74</v>
      </c>
      <c r="S534" t="s">
        <v>74</v>
      </c>
      <c r="T534" t="s">
        <v>6220</v>
      </c>
      <c r="U534" t="s">
        <v>6221</v>
      </c>
      <c r="V534" t="s">
        <v>6222</v>
      </c>
      <c r="W534" t="s">
        <v>6223</v>
      </c>
      <c r="X534" t="s">
        <v>6224</v>
      </c>
      <c r="Y534" t="s">
        <v>6225</v>
      </c>
      <c r="Z534" t="s">
        <v>6226</v>
      </c>
      <c r="AA534" t="s">
        <v>6227</v>
      </c>
      <c r="AB534" t="s">
        <v>6228</v>
      </c>
      <c r="AC534" t="s">
        <v>6229</v>
      </c>
      <c r="AD534" t="s">
        <v>2792</v>
      </c>
      <c r="AE534" t="s">
        <v>74</v>
      </c>
      <c r="AF534" t="s">
        <v>74</v>
      </c>
      <c r="AG534">
        <v>141</v>
      </c>
      <c r="AH534">
        <v>245</v>
      </c>
      <c r="AI534">
        <v>264</v>
      </c>
      <c r="AJ534">
        <v>3</v>
      </c>
      <c r="AK534">
        <v>86</v>
      </c>
      <c r="AL534" t="s">
        <v>88</v>
      </c>
      <c r="AM534" t="s">
        <v>89</v>
      </c>
      <c r="AN534" t="s">
        <v>90</v>
      </c>
      <c r="AO534" t="s">
        <v>6230</v>
      </c>
      <c r="AP534" t="s">
        <v>6231</v>
      </c>
      <c r="AQ534" t="s">
        <v>74</v>
      </c>
      <c r="AR534" t="s">
        <v>6232</v>
      </c>
      <c r="AS534" t="s">
        <v>6233</v>
      </c>
      <c r="AT534" t="s">
        <v>5893</v>
      </c>
      <c r="AU534">
        <v>2008</v>
      </c>
      <c r="AV534">
        <v>83</v>
      </c>
      <c r="AW534">
        <v>2</v>
      </c>
      <c r="AX534" t="s">
        <v>74</v>
      </c>
      <c r="AY534" t="s">
        <v>74</v>
      </c>
      <c r="AZ534" t="s">
        <v>74</v>
      </c>
      <c r="BA534" t="s">
        <v>74</v>
      </c>
      <c r="BB534">
        <v>103</v>
      </c>
      <c r="BC534">
        <v>117</v>
      </c>
      <c r="BD534" t="s">
        <v>74</v>
      </c>
      <c r="BE534" t="s">
        <v>6234</v>
      </c>
      <c r="BF534" t="str">
        <f>HYPERLINK("http://dx.doi.org/10.1111/j.1469-185X.2008.00034.x","http://dx.doi.org/10.1111/j.1469-185X.2008.00034.x")</f>
        <v>http://dx.doi.org/10.1111/j.1469-185X.2008.00034.x</v>
      </c>
      <c r="BG534" t="s">
        <v>74</v>
      </c>
      <c r="BH534" t="s">
        <v>74</v>
      </c>
      <c r="BI534">
        <v>15</v>
      </c>
      <c r="BJ534" t="s">
        <v>4890</v>
      </c>
      <c r="BK534" t="s">
        <v>419</v>
      </c>
      <c r="BL534" t="s">
        <v>4891</v>
      </c>
      <c r="BM534" t="s">
        <v>6235</v>
      </c>
      <c r="BN534">
        <v>18429764</v>
      </c>
      <c r="BO534" t="s">
        <v>74</v>
      </c>
      <c r="BP534" t="s">
        <v>74</v>
      </c>
      <c r="BQ534" t="s">
        <v>74</v>
      </c>
      <c r="BR534" t="s">
        <v>101</v>
      </c>
      <c r="BS534" t="s">
        <v>6236</v>
      </c>
      <c r="BT534" t="str">
        <f>HYPERLINK("https%3A%2F%2Fwww.webofscience.com%2Fwos%2Fwoscc%2Ffull-record%2FWOS:000255211500001","View Full Record in Web of Science")</f>
        <v>View Full Record in Web of Science</v>
      </c>
    </row>
    <row r="535" spans="1:72" x14ac:dyDescent="0.15">
      <c r="A535" t="s">
        <v>72</v>
      </c>
      <c r="B535" t="s">
        <v>6237</v>
      </c>
      <c r="C535" t="s">
        <v>74</v>
      </c>
      <c r="D535" t="s">
        <v>74</v>
      </c>
      <c r="E535" t="s">
        <v>74</v>
      </c>
      <c r="F535" t="s">
        <v>6238</v>
      </c>
      <c r="G535" t="s">
        <v>74</v>
      </c>
      <c r="H535" t="s">
        <v>74</v>
      </c>
      <c r="I535" t="s">
        <v>6239</v>
      </c>
      <c r="J535" t="s">
        <v>6240</v>
      </c>
      <c r="K535" t="s">
        <v>74</v>
      </c>
      <c r="L535" t="s">
        <v>74</v>
      </c>
      <c r="M535" t="s">
        <v>78</v>
      </c>
      <c r="N535" t="s">
        <v>2737</v>
      </c>
      <c r="O535" t="s">
        <v>74</v>
      </c>
      <c r="P535" t="s">
        <v>74</v>
      </c>
      <c r="Q535" t="s">
        <v>74</v>
      </c>
      <c r="R535" t="s">
        <v>74</v>
      </c>
      <c r="S535" t="s">
        <v>74</v>
      </c>
      <c r="T535" t="s">
        <v>74</v>
      </c>
      <c r="U535" t="s">
        <v>6241</v>
      </c>
      <c r="V535" t="s">
        <v>6242</v>
      </c>
      <c r="W535" t="s">
        <v>6243</v>
      </c>
      <c r="X535" t="s">
        <v>6244</v>
      </c>
      <c r="Y535" t="s">
        <v>6245</v>
      </c>
      <c r="Z535" t="s">
        <v>6246</v>
      </c>
      <c r="AA535" t="s">
        <v>6247</v>
      </c>
      <c r="AB535" t="s">
        <v>74</v>
      </c>
      <c r="AC535" t="s">
        <v>74</v>
      </c>
      <c r="AD535" t="s">
        <v>74</v>
      </c>
      <c r="AE535" t="s">
        <v>74</v>
      </c>
      <c r="AF535" t="s">
        <v>74</v>
      </c>
      <c r="AG535">
        <v>10</v>
      </c>
      <c r="AH535">
        <v>0</v>
      </c>
      <c r="AI535">
        <v>0</v>
      </c>
      <c r="AJ535">
        <v>0</v>
      </c>
      <c r="AK535">
        <v>1</v>
      </c>
      <c r="AL535" t="s">
        <v>6248</v>
      </c>
      <c r="AM535" t="s">
        <v>6249</v>
      </c>
      <c r="AN535" t="s">
        <v>6250</v>
      </c>
      <c r="AO535" t="s">
        <v>6251</v>
      </c>
      <c r="AP535" t="s">
        <v>6252</v>
      </c>
      <c r="AQ535" t="s">
        <v>74</v>
      </c>
      <c r="AR535" t="s">
        <v>6253</v>
      </c>
      <c r="AS535" t="s">
        <v>6254</v>
      </c>
      <c r="AT535" t="s">
        <v>5893</v>
      </c>
      <c r="AU535">
        <v>2008</v>
      </c>
      <c r="AV535">
        <v>25</v>
      </c>
      <c r="AW535">
        <v>5</v>
      </c>
      <c r="AX535" t="s">
        <v>74</v>
      </c>
      <c r="AY535" t="s">
        <v>74</v>
      </c>
      <c r="AZ535" t="s">
        <v>74</v>
      </c>
      <c r="BA535" t="s">
        <v>74</v>
      </c>
      <c r="BB535">
        <v>1742</v>
      </c>
      <c r="BC535">
        <v>1745</v>
      </c>
      <c r="BD535" t="s">
        <v>74</v>
      </c>
      <c r="BE535" t="s">
        <v>74</v>
      </c>
      <c r="BF535" t="s">
        <v>74</v>
      </c>
      <c r="BG535" t="s">
        <v>74</v>
      </c>
      <c r="BH535" t="s">
        <v>74</v>
      </c>
      <c r="BI535">
        <v>4</v>
      </c>
      <c r="BJ535" t="s">
        <v>6255</v>
      </c>
      <c r="BK535" t="s">
        <v>419</v>
      </c>
      <c r="BL535" t="s">
        <v>6256</v>
      </c>
      <c r="BM535" t="s">
        <v>6257</v>
      </c>
      <c r="BN535" t="s">
        <v>74</v>
      </c>
      <c r="BO535" t="s">
        <v>74</v>
      </c>
      <c r="BP535" t="s">
        <v>74</v>
      </c>
      <c r="BQ535" t="s">
        <v>74</v>
      </c>
      <c r="BR535" t="s">
        <v>101</v>
      </c>
      <c r="BS535" t="s">
        <v>6258</v>
      </c>
      <c r="BT535" t="str">
        <f>HYPERLINK("https%3A%2F%2Fwww.webofscience.com%2Fwos%2Fwoscc%2Ffull-record%2FWOS:000256248300060","View Full Record in Web of Science")</f>
        <v>View Full Record in Web of Science</v>
      </c>
    </row>
    <row r="536" spans="1:72" x14ac:dyDescent="0.15">
      <c r="A536" t="s">
        <v>72</v>
      </c>
      <c r="B536" t="s">
        <v>6259</v>
      </c>
      <c r="C536" t="s">
        <v>74</v>
      </c>
      <c r="D536" t="s">
        <v>74</v>
      </c>
      <c r="E536" t="s">
        <v>74</v>
      </c>
      <c r="F536" t="s">
        <v>6260</v>
      </c>
      <c r="G536" t="s">
        <v>74</v>
      </c>
      <c r="H536" t="s">
        <v>74</v>
      </c>
      <c r="I536" t="s">
        <v>6261</v>
      </c>
      <c r="J536" t="s">
        <v>4462</v>
      </c>
      <c r="K536" t="s">
        <v>74</v>
      </c>
      <c r="L536" t="s">
        <v>74</v>
      </c>
      <c r="M536" t="s">
        <v>78</v>
      </c>
      <c r="N536" t="s">
        <v>2737</v>
      </c>
      <c r="O536" t="s">
        <v>74</v>
      </c>
      <c r="P536" t="s">
        <v>74</v>
      </c>
      <c r="Q536" t="s">
        <v>74</v>
      </c>
      <c r="R536" t="s">
        <v>74</v>
      </c>
      <c r="S536" t="s">
        <v>74</v>
      </c>
      <c r="T536" t="s">
        <v>6262</v>
      </c>
      <c r="U536" t="s">
        <v>74</v>
      </c>
      <c r="V536" t="s">
        <v>6263</v>
      </c>
      <c r="W536" t="s">
        <v>6264</v>
      </c>
      <c r="X536" t="s">
        <v>74</v>
      </c>
      <c r="Y536" t="s">
        <v>6265</v>
      </c>
      <c r="Z536" t="s">
        <v>6266</v>
      </c>
      <c r="AA536" t="s">
        <v>74</v>
      </c>
      <c r="AB536" t="s">
        <v>6267</v>
      </c>
      <c r="AC536" t="s">
        <v>74</v>
      </c>
      <c r="AD536" t="s">
        <v>74</v>
      </c>
      <c r="AE536" t="s">
        <v>74</v>
      </c>
      <c r="AF536" t="s">
        <v>74</v>
      </c>
      <c r="AG536">
        <v>41</v>
      </c>
      <c r="AH536">
        <v>14</v>
      </c>
      <c r="AI536">
        <v>16</v>
      </c>
      <c r="AJ536">
        <v>0</v>
      </c>
      <c r="AK536">
        <v>4</v>
      </c>
      <c r="AL536" t="s">
        <v>3257</v>
      </c>
      <c r="AM536" t="s">
        <v>3258</v>
      </c>
      <c r="AN536" t="s">
        <v>3259</v>
      </c>
      <c r="AO536" t="s">
        <v>4474</v>
      </c>
      <c r="AP536" t="s">
        <v>74</v>
      </c>
      <c r="AQ536" t="s">
        <v>74</v>
      </c>
      <c r="AR536" t="s">
        <v>4475</v>
      </c>
      <c r="AS536" t="s">
        <v>4476</v>
      </c>
      <c r="AT536" t="s">
        <v>5893</v>
      </c>
      <c r="AU536">
        <v>2008</v>
      </c>
      <c r="AV536">
        <v>52</v>
      </c>
      <c r="AW536">
        <v>3</v>
      </c>
      <c r="AX536" t="s">
        <v>74</v>
      </c>
      <c r="AY536" t="s">
        <v>74</v>
      </c>
      <c r="AZ536" t="s">
        <v>74</v>
      </c>
      <c r="BA536" t="s">
        <v>74</v>
      </c>
      <c r="BB536">
        <v>302</v>
      </c>
      <c r="BC536">
        <v>325</v>
      </c>
      <c r="BD536" t="s">
        <v>74</v>
      </c>
      <c r="BE536" t="s">
        <v>6268</v>
      </c>
      <c r="BF536" t="str">
        <f>HYPERLINK("http://dx.doi.org/10.1016/j.coldregions.2007.04.020","http://dx.doi.org/10.1016/j.coldregions.2007.04.020")</f>
        <v>http://dx.doi.org/10.1016/j.coldregions.2007.04.020</v>
      </c>
      <c r="BG536" t="s">
        <v>74</v>
      </c>
      <c r="BH536" t="s">
        <v>74</v>
      </c>
      <c r="BI536">
        <v>24</v>
      </c>
      <c r="BJ536" t="s">
        <v>4479</v>
      </c>
      <c r="BK536" t="s">
        <v>419</v>
      </c>
      <c r="BL536" t="s">
        <v>4480</v>
      </c>
      <c r="BM536" t="s">
        <v>6269</v>
      </c>
      <c r="BN536" t="s">
        <v>74</v>
      </c>
      <c r="BO536" t="s">
        <v>74</v>
      </c>
      <c r="BP536" t="s">
        <v>74</v>
      </c>
      <c r="BQ536" t="s">
        <v>74</v>
      </c>
      <c r="BR536" t="s">
        <v>101</v>
      </c>
      <c r="BS536" t="s">
        <v>6270</v>
      </c>
      <c r="BT536" t="str">
        <f>HYPERLINK("https%3A%2F%2Fwww.webofscience.com%2Fwos%2Fwoscc%2Ffull-record%2FWOS:000255705600003","View Full Record in Web of Science")</f>
        <v>View Full Record in Web of Science</v>
      </c>
    </row>
    <row r="537" spans="1:72" x14ac:dyDescent="0.15">
      <c r="A537" t="s">
        <v>72</v>
      </c>
      <c r="B537" t="s">
        <v>6271</v>
      </c>
      <c r="C537" t="s">
        <v>74</v>
      </c>
      <c r="D537" t="s">
        <v>74</v>
      </c>
      <c r="E537" t="s">
        <v>74</v>
      </c>
      <c r="F537" t="s">
        <v>6272</v>
      </c>
      <c r="G537" t="s">
        <v>74</v>
      </c>
      <c r="H537" t="s">
        <v>74</v>
      </c>
      <c r="I537" t="s">
        <v>6273</v>
      </c>
      <c r="J537" t="s">
        <v>4462</v>
      </c>
      <c r="K537" t="s">
        <v>74</v>
      </c>
      <c r="L537" t="s">
        <v>74</v>
      </c>
      <c r="M537" t="s">
        <v>78</v>
      </c>
      <c r="N537" t="s">
        <v>2737</v>
      </c>
      <c r="O537" t="s">
        <v>74</v>
      </c>
      <c r="P537" t="s">
        <v>74</v>
      </c>
      <c r="Q537" t="s">
        <v>74</v>
      </c>
      <c r="R537" t="s">
        <v>74</v>
      </c>
      <c r="S537" t="s">
        <v>74</v>
      </c>
      <c r="T537" t="s">
        <v>6274</v>
      </c>
      <c r="U537" t="s">
        <v>6275</v>
      </c>
      <c r="V537" t="s">
        <v>6276</v>
      </c>
      <c r="W537" t="s">
        <v>6277</v>
      </c>
      <c r="X537" t="s">
        <v>6278</v>
      </c>
      <c r="Y537" t="s">
        <v>6279</v>
      </c>
      <c r="Z537" t="s">
        <v>6280</v>
      </c>
      <c r="AA537" t="s">
        <v>74</v>
      </c>
      <c r="AB537" t="s">
        <v>6281</v>
      </c>
      <c r="AC537" t="s">
        <v>74</v>
      </c>
      <c r="AD537" t="s">
        <v>74</v>
      </c>
      <c r="AE537" t="s">
        <v>74</v>
      </c>
      <c r="AF537" t="s">
        <v>74</v>
      </c>
      <c r="AG537">
        <v>18</v>
      </c>
      <c r="AH537">
        <v>12</v>
      </c>
      <c r="AI537">
        <v>15</v>
      </c>
      <c r="AJ537">
        <v>2</v>
      </c>
      <c r="AK537">
        <v>27</v>
      </c>
      <c r="AL537" t="s">
        <v>3933</v>
      </c>
      <c r="AM537" t="s">
        <v>3258</v>
      </c>
      <c r="AN537" t="s">
        <v>3934</v>
      </c>
      <c r="AO537" t="s">
        <v>4474</v>
      </c>
      <c r="AP537" t="s">
        <v>6282</v>
      </c>
      <c r="AQ537" t="s">
        <v>74</v>
      </c>
      <c r="AR537" t="s">
        <v>4475</v>
      </c>
      <c r="AS537" t="s">
        <v>4476</v>
      </c>
      <c r="AT537" t="s">
        <v>5893</v>
      </c>
      <c r="AU537">
        <v>2008</v>
      </c>
      <c r="AV537">
        <v>52</v>
      </c>
      <c r="AW537">
        <v>3</v>
      </c>
      <c r="AX537" t="s">
        <v>74</v>
      </c>
      <c r="AY537" t="s">
        <v>74</v>
      </c>
      <c r="AZ537" t="s">
        <v>74</v>
      </c>
      <c r="BA537" t="s">
        <v>74</v>
      </c>
      <c r="BB537">
        <v>401</v>
      </c>
      <c r="BC537">
        <v>407</v>
      </c>
      <c r="BD537" t="s">
        <v>74</v>
      </c>
      <c r="BE537" t="s">
        <v>6283</v>
      </c>
      <c r="BF537" t="str">
        <f>HYPERLINK("http://dx.doi.org/10.1016/j.coldregions.2007.07.007","http://dx.doi.org/10.1016/j.coldregions.2007.07.007")</f>
        <v>http://dx.doi.org/10.1016/j.coldregions.2007.07.007</v>
      </c>
      <c r="BG537" t="s">
        <v>74</v>
      </c>
      <c r="BH537" t="s">
        <v>74</v>
      </c>
      <c r="BI537">
        <v>7</v>
      </c>
      <c r="BJ537" t="s">
        <v>4479</v>
      </c>
      <c r="BK537" t="s">
        <v>419</v>
      </c>
      <c r="BL537" t="s">
        <v>4480</v>
      </c>
      <c r="BM537" t="s">
        <v>6269</v>
      </c>
      <c r="BN537" t="s">
        <v>74</v>
      </c>
      <c r="BO537" t="s">
        <v>74</v>
      </c>
      <c r="BP537" t="s">
        <v>74</v>
      </c>
      <c r="BQ537" t="s">
        <v>74</v>
      </c>
      <c r="BR537" t="s">
        <v>101</v>
      </c>
      <c r="BS537" t="s">
        <v>6284</v>
      </c>
      <c r="BT537" t="str">
        <f>HYPERLINK("https%3A%2F%2Fwww.webofscience.com%2Fwos%2Fwoscc%2Ffull-record%2FWOS:000255705600009","View Full Record in Web of Science")</f>
        <v>View Full Record in Web of Science</v>
      </c>
    </row>
    <row r="538" spans="1:72" x14ac:dyDescent="0.15">
      <c r="A538" t="s">
        <v>72</v>
      </c>
      <c r="B538" t="s">
        <v>6285</v>
      </c>
      <c r="C538" t="s">
        <v>74</v>
      </c>
      <c r="D538" t="s">
        <v>74</v>
      </c>
      <c r="E538" t="s">
        <v>74</v>
      </c>
      <c r="F538" t="s">
        <v>6286</v>
      </c>
      <c r="G538" t="s">
        <v>74</v>
      </c>
      <c r="H538" t="s">
        <v>74</v>
      </c>
      <c r="I538" t="s">
        <v>6287</v>
      </c>
      <c r="J538" t="s">
        <v>6288</v>
      </c>
      <c r="K538" t="s">
        <v>74</v>
      </c>
      <c r="L538" t="s">
        <v>74</v>
      </c>
      <c r="M538" t="s">
        <v>78</v>
      </c>
      <c r="N538" t="s">
        <v>2737</v>
      </c>
      <c r="O538" t="s">
        <v>74</v>
      </c>
      <c r="P538" t="s">
        <v>74</v>
      </c>
      <c r="Q538" t="s">
        <v>74</v>
      </c>
      <c r="R538" t="s">
        <v>74</v>
      </c>
      <c r="S538" t="s">
        <v>74</v>
      </c>
      <c r="T538" t="s">
        <v>6289</v>
      </c>
      <c r="U538" t="s">
        <v>6290</v>
      </c>
      <c r="V538" t="s">
        <v>6291</v>
      </c>
      <c r="W538" t="s">
        <v>6292</v>
      </c>
      <c r="X538" t="s">
        <v>6293</v>
      </c>
      <c r="Y538" t="s">
        <v>6294</v>
      </c>
      <c r="Z538" t="s">
        <v>6295</v>
      </c>
      <c r="AA538" t="s">
        <v>6296</v>
      </c>
      <c r="AB538" t="s">
        <v>74</v>
      </c>
      <c r="AC538" t="s">
        <v>74</v>
      </c>
      <c r="AD538" t="s">
        <v>74</v>
      </c>
      <c r="AE538" t="s">
        <v>74</v>
      </c>
      <c r="AF538" t="s">
        <v>74</v>
      </c>
      <c r="AG538">
        <v>58</v>
      </c>
      <c r="AH538">
        <v>8</v>
      </c>
      <c r="AI538">
        <v>8</v>
      </c>
      <c r="AJ538">
        <v>0</v>
      </c>
      <c r="AK538">
        <v>37</v>
      </c>
      <c r="AL538" t="s">
        <v>3979</v>
      </c>
      <c r="AM538" t="s">
        <v>2747</v>
      </c>
      <c r="AN538" t="s">
        <v>3980</v>
      </c>
      <c r="AO538" t="s">
        <v>6297</v>
      </c>
      <c r="AP538" t="s">
        <v>6298</v>
      </c>
      <c r="AQ538" t="s">
        <v>74</v>
      </c>
      <c r="AR538" t="s">
        <v>6299</v>
      </c>
      <c r="AS538" t="s">
        <v>6300</v>
      </c>
      <c r="AT538" t="s">
        <v>5893</v>
      </c>
      <c r="AU538">
        <v>2008</v>
      </c>
      <c r="AV538">
        <v>150</v>
      </c>
      <c r="AW538">
        <v>1</v>
      </c>
      <c r="AX538" t="s">
        <v>74</v>
      </c>
      <c r="AY538" t="s">
        <v>74</v>
      </c>
      <c r="AZ538" t="s">
        <v>74</v>
      </c>
      <c r="BA538" t="s">
        <v>74</v>
      </c>
      <c r="BB538">
        <v>62</v>
      </c>
      <c r="BC538">
        <v>73</v>
      </c>
      <c r="BD538" t="s">
        <v>74</v>
      </c>
      <c r="BE538" t="s">
        <v>6301</v>
      </c>
      <c r="BF538" t="str">
        <f>HYPERLINK("http://dx.doi.org/10.1016/j.cbpb.2008.01.008","http://dx.doi.org/10.1016/j.cbpb.2008.01.008")</f>
        <v>http://dx.doi.org/10.1016/j.cbpb.2008.01.008</v>
      </c>
      <c r="BG538" t="s">
        <v>74</v>
      </c>
      <c r="BH538" t="s">
        <v>74</v>
      </c>
      <c r="BI538">
        <v>12</v>
      </c>
      <c r="BJ538" t="s">
        <v>6302</v>
      </c>
      <c r="BK538" t="s">
        <v>419</v>
      </c>
      <c r="BL538" t="s">
        <v>6302</v>
      </c>
      <c r="BM538" t="s">
        <v>6303</v>
      </c>
      <c r="BN538">
        <v>18313960</v>
      </c>
      <c r="BO538" t="s">
        <v>74</v>
      </c>
      <c r="BP538" t="s">
        <v>74</v>
      </c>
      <c r="BQ538" t="s">
        <v>74</v>
      </c>
      <c r="BR538" t="s">
        <v>101</v>
      </c>
      <c r="BS538" t="s">
        <v>6304</v>
      </c>
      <c r="BT538" t="str">
        <f>HYPERLINK("https%3A%2F%2Fwww.webofscience.com%2Fwos%2Fwoscc%2Ffull-record%2FWOS:000255572400007","View Full Record in Web of Science")</f>
        <v>View Full Record in Web of Science</v>
      </c>
    </row>
    <row r="539" spans="1:72" x14ac:dyDescent="0.15">
      <c r="A539" t="s">
        <v>72</v>
      </c>
      <c r="B539" t="s">
        <v>6305</v>
      </c>
      <c r="C539" t="s">
        <v>74</v>
      </c>
      <c r="D539" t="s">
        <v>74</v>
      </c>
      <c r="E539" t="s">
        <v>74</v>
      </c>
      <c r="F539" t="s">
        <v>6306</v>
      </c>
      <c r="G539" t="s">
        <v>74</v>
      </c>
      <c r="H539" t="s">
        <v>74</v>
      </c>
      <c r="I539" t="s">
        <v>6307</v>
      </c>
      <c r="J539" t="s">
        <v>6308</v>
      </c>
      <c r="K539" t="s">
        <v>74</v>
      </c>
      <c r="L539" t="s">
        <v>74</v>
      </c>
      <c r="M539" t="s">
        <v>78</v>
      </c>
      <c r="N539" t="s">
        <v>2737</v>
      </c>
      <c r="O539" t="s">
        <v>74</v>
      </c>
      <c r="P539" t="s">
        <v>74</v>
      </c>
      <c r="Q539" t="s">
        <v>74</v>
      </c>
      <c r="R539" t="s">
        <v>74</v>
      </c>
      <c r="S539" t="s">
        <v>74</v>
      </c>
      <c r="T539" t="s">
        <v>74</v>
      </c>
      <c r="U539" t="s">
        <v>74</v>
      </c>
      <c r="V539" t="s">
        <v>6309</v>
      </c>
      <c r="W539" t="s">
        <v>6310</v>
      </c>
      <c r="X539" t="s">
        <v>74</v>
      </c>
      <c r="Y539" t="s">
        <v>6311</v>
      </c>
      <c r="Z539" t="s">
        <v>5184</v>
      </c>
      <c r="AA539" t="s">
        <v>74</v>
      </c>
      <c r="AB539" t="s">
        <v>74</v>
      </c>
      <c r="AC539" t="s">
        <v>74</v>
      </c>
      <c r="AD539" t="s">
        <v>74</v>
      </c>
      <c r="AE539" t="s">
        <v>74</v>
      </c>
      <c r="AF539" t="s">
        <v>74</v>
      </c>
      <c r="AG539">
        <v>14</v>
      </c>
      <c r="AH539">
        <v>20</v>
      </c>
      <c r="AI539">
        <v>21</v>
      </c>
      <c r="AJ539">
        <v>0</v>
      </c>
      <c r="AK539">
        <v>3</v>
      </c>
      <c r="AL539" t="s">
        <v>2815</v>
      </c>
      <c r="AM539" t="s">
        <v>2816</v>
      </c>
      <c r="AN539" t="s">
        <v>2817</v>
      </c>
      <c r="AO539" t="s">
        <v>6312</v>
      </c>
      <c r="AP539" t="s">
        <v>6313</v>
      </c>
      <c r="AQ539" t="s">
        <v>74</v>
      </c>
      <c r="AR539" t="s">
        <v>6314</v>
      </c>
      <c r="AS539" t="s">
        <v>6315</v>
      </c>
      <c r="AT539" t="s">
        <v>5893</v>
      </c>
      <c r="AU539">
        <v>2008</v>
      </c>
      <c r="AV539">
        <v>23</v>
      </c>
      <c r="AW539">
        <v>1</v>
      </c>
      <c r="AX539" t="s">
        <v>74</v>
      </c>
      <c r="AY539" t="s">
        <v>74</v>
      </c>
      <c r="AZ539" t="s">
        <v>74</v>
      </c>
      <c r="BA539" t="s">
        <v>74</v>
      </c>
      <c r="BB539">
        <v>221</v>
      </c>
      <c r="BC539">
        <v>232</v>
      </c>
      <c r="BD539" t="s">
        <v>74</v>
      </c>
      <c r="BE539" t="s">
        <v>74</v>
      </c>
      <c r="BF539" t="s">
        <v>74</v>
      </c>
      <c r="BG539" t="s">
        <v>74</v>
      </c>
      <c r="BH539" t="s">
        <v>74</v>
      </c>
      <c r="BI539">
        <v>12</v>
      </c>
      <c r="BJ539" t="s">
        <v>5035</v>
      </c>
      <c r="BK539" t="s">
        <v>419</v>
      </c>
      <c r="BL539" t="s">
        <v>5035</v>
      </c>
      <c r="BM539" t="s">
        <v>6316</v>
      </c>
      <c r="BN539" t="s">
        <v>74</v>
      </c>
      <c r="BO539" t="s">
        <v>74</v>
      </c>
      <c r="BP539" t="s">
        <v>74</v>
      </c>
      <c r="BQ539" t="s">
        <v>74</v>
      </c>
      <c r="BR539" t="s">
        <v>101</v>
      </c>
      <c r="BS539" t="s">
        <v>6317</v>
      </c>
      <c r="BT539" t="str">
        <f>HYPERLINK("https%3A%2F%2Fwww.webofscience.com%2Fwos%2Fwoscc%2Ffull-record%2FWOS:000255426200017","View Full Record in Web of Science")</f>
        <v>View Full Record in Web of Science</v>
      </c>
    </row>
    <row r="540" spans="1:72" x14ac:dyDescent="0.15">
      <c r="A540" t="s">
        <v>72</v>
      </c>
      <c r="B540" t="s">
        <v>6318</v>
      </c>
      <c r="C540" t="s">
        <v>74</v>
      </c>
      <c r="D540" t="s">
        <v>74</v>
      </c>
      <c r="E540" t="s">
        <v>74</v>
      </c>
      <c r="F540" t="s">
        <v>6319</v>
      </c>
      <c r="G540" t="s">
        <v>74</v>
      </c>
      <c r="H540" t="s">
        <v>74</v>
      </c>
      <c r="I540" t="s">
        <v>6320</v>
      </c>
      <c r="J540" t="s">
        <v>6308</v>
      </c>
      <c r="K540" t="s">
        <v>74</v>
      </c>
      <c r="L540" t="s">
        <v>74</v>
      </c>
      <c r="M540" t="s">
        <v>78</v>
      </c>
      <c r="N540" t="s">
        <v>2737</v>
      </c>
      <c r="O540" t="s">
        <v>74</v>
      </c>
      <c r="P540" t="s">
        <v>74</v>
      </c>
      <c r="Q540" t="s">
        <v>74</v>
      </c>
      <c r="R540" t="s">
        <v>74</v>
      </c>
      <c r="S540" t="s">
        <v>74</v>
      </c>
      <c r="T540" t="s">
        <v>74</v>
      </c>
      <c r="U540" t="s">
        <v>6321</v>
      </c>
      <c r="V540" t="s">
        <v>6322</v>
      </c>
      <c r="W540" t="s">
        <v>6323</v>
      </c>
      <c r="X540" t="s">
        <v>6324</v>
      </c>
      <c r="Y540" t="s">
        <v>6311</v>
      </c>
      <c r="Z540" t="s">
        <v>5184</v>
      </c>
      <c r="AA540" t="s">
        <v>6325</v>
      </c>
      <c r="AB540" t="s">
        <v>6326</v>
      </c>
      <c r="AC540" t="s">
        <v>74</v>
      </c>
      <c r="AD540" t="s">
        <v>74</v>
      </c>
      <c r="AE540" t="s">
        <v>74</v>
      </c>
      <c r="AF540" t="s">
        <v>74</v>
      </c>
      <c r="AG540">
        <v>32</v>
      </c>
      <c r="AH540">
        <v>18</v>
      </c>
      <c r="AI540">
        <v>18</v>
      </c>
      <c r="AJ540">
        <v>0</v>
      </c>
      <c r="AK540">
        <v>8</v>
      </c>
      <c r="AL540" t="s">
        <v>6327</v>
      </c>
      <c r="AM540" t="s">
        <v>6249</v>
      </c>
      <c r="AN540" t="s">
        <v>6328</v>
      </c>
      <c r="AO540" t="s">
        <v>6312</v>
      </c>
      <c r="AP540" t="s">
        <v>74</v>
      </c>
      <c r="AQ540" t="s">
        <v>74</v>
      </c>
      <c r="AR540" t="s">
        <v>6314</v>
      </c>
      <c r="AS540" t="s">
        <v>6315</v>
      </c>
      <c r="AT540" t="s">
        <v>5893</v>
      </c>
      <c r="AU540">
        <v>2008</v>
      </c>
      <c r="AV540">
        <v>23</v>
      </c>
      <c r="AW540">
        <v>1</v>
      </c>
      <c r="AX540" t="s">
        <v>74</v>
      </c>
      <c r="AY540" t="s">
        <v>74</v>
      </c>
      <c r="AZ540" t="s">
        <v>74</v>
      </c>
      <c r="BA540" t="s">
        <v>74</v>
      </c>
      <c r="BB540">
        <v>233</v>
      </c>
      <c r="BC540">
        <v>242</v>
      </c>
      <c r="BD540" t="s">
        <v>74</v>
      </c>
      <c r="BE540" t="s">
        <v>74</v>
      </c>
      <c r="BF540" t="s">
        <v>74</v>
      </c>
      <c r="BG540" t="s">
        <v>74</v>
      </c>
      <c r="BH540" t="s">
        <v>74</v>
      </c>
      <c r="BI540">
        <v>10</v>
      </c>
      <c r="BJ540" t="s">
        <v>5035</v>
      </c>
      <c r="BK540" t="s">
        <v>419</v>
      </c>
      <c r="BL540" t="s">
        <v>5035</v>
      </c>
      <c r="BM540" t="s">
        <v>6316</v>
      </c>
      <c r="BN540" t="s">
        <v>74</v>
      </c>
      <c r="BO540" t="s">
        <v>74</v>
      </c>
      <c r="BP540" t="s">
        <v>74</v>
      </c>
      <c r="BQ540" t="s">
        <v>74</v>
      </c>
      <c r="BR540" t="s">
        <v>101</v>
      </c>
      <c r="BS540" t="s">
        <v>6329</v>
      </c>
      <c r="BT540" t="str">
        <f>HYPERLINK("https%3A%2F%2Fwww.webofscience.com%2Fwos%2Fwoscc%2Ffull-record%2FWOS:000255426200018","View Full Record in Web of Science")</f>
        <v>View Full Record in Web of Science</v>
      </c>
    </row>
    <row r="541" spans="1:72" x14ac:dyDescent="0.15">
      <c r="A541" t="s">
        <v>72</v>
      </c>
      <c r="B541" t="s">
        <v>6330</v>
      </c>
      <c r="C541" t="s">
        <v>74</v>
      </c>
      <c r="D541" t="s">
        <v>74</v>
      </c>
      <c r="E541" t="s">
        <v>74</v>
      </c>
      <c r="F541" t="s">
        <v>6331</v>
      </c>
      <c r="G541" t="s">
        <v>74</v>
      </c>
      <c r="H541" t="s">
        <v>74</v>
      </c>
      <c r="I541" t="s">
        <v>6332</v>
      </c>
      <c r="J541" t="s">
        <v>6333</v>
      </c>
      <c r="K541" t="s">
        <v>74</v>
      </c>
      <c r="L541" t="s">
        <v>74</v>
      </c>
      <c r="M541" t="s">
        <v>78</v>
      </c>
      <c r="N541" t="s">
        <v>2958</v>
      </c>
      <c r="O541" t="s">
        <v>74</v>
      </c>
      <c r="P541" t="s">
        <v>74</v>
      </c>
      <c r="Q541" t="s">
        <v>74</v>
      </c>
      <c r="R541" t="s">
        <v>74</v>
      </c>
      <c r="S541" t="s">
        <v>74</v>
      </c>
      <c r="T541" t="s">
        <v>6334</v>
      </c>
      <c r="U541" t="s">
        <v>6335</v>
      </c>
      <c r="V541" t="s">
        <v>6336</v>
      </c>
      <c r="W541" t="s">
        <v>4655</v>
      </c>
      <c r="X541" t="s">
        <v>2786</v>
      </c>
      <c r="Y541" t="s">
        <v>6337</v>
      </c>
      <c r="Z541" t="s">
        <v>6338</v>
      </c>
      <c r="AA541" t="s">
        <v>74</v>
      </c>
      <c r="AB541" t="s">
        <v>74</v>
      </c>
      <c r="AC541" t="s">
        <v>3387</v>
      </c>
      <c r="AD541" t="s">
        <v>2792</v>
      </c>
      <c r="AE541" t="s">
        <v>74</v>
      </c>
      <c r="AF541" t="s">
        <v>74</v>
      </c>
      <c r="AG541">
        <v>107</v>
      </c>
      <c r="AH541">
        <v>47</v>
      </c>
      <c r="AI541">
        <v>51</v>
      </c>
      <c r="AJ541">
        <v>0</v>
      </c>
      <c r="AK541">
        <v>20</v>
      </c>
      <c r="AL541" t="s">
        <v>3933</v>
      </c>
      <c r="AM541" t="s">
        <v>3258</v>
      </c>
      <c r="AN541" t="s">
        <v>3934</v>
      </c>
      <c r="AO541" t="s">
        <v>6339</v>
      </c>
      <c r="AP541" t="s">
        <v>6340</v>
      </c>
      <c r="AQ541" t="s">
        <v>74</v>
      </c>
      <c r="AR541" t="s">
        <v>6341</v>
      </c>
      <c r="AS541" t="s">
        <v>6342</v>
      </c>
      <c r="AT541" t="s">
        <v>5893</v>
      </c>
      <c r="AU541">
        <v>2008</v>
      </c>
      <c r="AV541">
        <v>88</v>
      </c>
      <c r="AW541" t="s">
        <v>5676</v>
      </c>
      <c r="AX541" t="s">
        <v>74</v>
      </c>
      <c r="AY541" t="s">
        <v>74</v>
      </c>
      <c r="AZ541" t="s">
        <v>74</v>
      </c>
      <c r="BA541" t="s">
        <v>74</v>
      </c>
      <c r="BB541">
        <v>60</v>
      </c>
      <c r="BC541">
        <v>88</v>
      </c>
      <c r="BD541" t="s">
        <v>74</v>
      </c>
      <c r="BE541" t="s">
        <v>6343</v>
      </c>
      <c r="BF541" t="str">
        <f>HYPERLINK("http://dx.doi.org/10.1016/j.earscirev.2008.01.004","http://dx.doi.org/10.1016/j.earscirev.2008.01.004")</f>
        <v>http://dx.doi.org/10.1016/j.earscirev.2008.01.004</v>
      </c>
      <c r="BG541" t="s">
        <v>74</v>
      </c>
      <c r="BH541" t="s">
        <v>74</v>
      </c>
      <c r="BI541">
        <v>29</v>
      </c>
      <c r="BJ541" t="s">
        <v>3093</v>
      </c>
      <c r="BK541" t="s">
        <v>419</v>
      </c>
      <c r="BL541" t="s">
        <v>3094</v>
      </c>
      <c r="BM541" t="s">
        <v>6344</v>
      </c>
      <c r="BN541" t="s">
        <v>74</v>
      </c>
      <c r="BO541" t="s">
        <v>74</v>
      </c>
      <c r="BP541" t="s">
        <v>74</v>
      </c>
      <c r="BQ541" t="s">
        <v>74</v>
      </c>
      <c r="BR541" t="s">
        <v>101</v>
      </c>
      <c r="BS541" t="s">
        <v>6345</v>
      </c>
      <c r="BT541" t="str">
        <f>HYPERLINK("https%3A%2F%2Fwww.webofscience.com%2Fwos%2Fwoscc%2Ffull-record%2FWOS:000256148600003","View Full Record in Web of Science")</f>
        <v>View Full Record in Web of Science</v>
      </c>
    </row>
    <row r="542" spans="1:72" x14ac:dyDescent="0.15">
      <c r="A542" t="s">
        <v>72</v>
      </c>
      <c r="B542" t="s">
        <v>6346</v>
      </c>
      <c r="C542" t="s">
        <v>74</v>
      </c>
      <c r="D542" t="s">
        <v>74</v>
      </c>
      <c r="E542" t="s">
        <v>74</v>
      </c>
      <c r="F542" t="s">
        <v>6347</v>
      </c>
      <c r="G542" t="s">
        <v>74</v>
      </c>
      <c r="H542" t="s">
        <v>74</v>
      </c>
      <c r="I542" t="s">
        <v>6348</v>
      </c>
      <c r="J542" t="s">
        <v>6349</v>
      </c>
      <c r="K542" t="s">
        <v>74</v>
      </c>
      <c r="L542" t="s">
        <v>74</v>
      </c>
      <c r="M542" t="s">
        <v>78</v>
      </c>
      <c r="N542" t="s">
        <v>2737</v>
      </c>
      <c r="O542" t="s">
        <v>74</v>
      </c>
      <c r="P542" t="s">
        <v>74</v>
      </c>
      <c r="Q542" t="s">
        <v>74</v>
      </c>
      <c r="R542" t="s">
        <v>74</v>
      </c>
      <c r="S542" t="s">
        <v>74</v>
      </c>
      <c r="T542" t="s">
        <v>6350</v>
      </c>
      <c r="U542" t="s">
        <v>6351</v>
      </c>
      <c r="V542" t="s">
        <v>6352</v>
      </c>
      <c r="W542" t="s">
        <v>6353</v>
      </c>
      <c r="X542" t="s">
        <v>6354</v>
      </c>
      <c r="Y542" t="s">
        <v>6355</v>
      </c>
      <c r="Z542" t="s">
        <v>5919</v>
      </c>
      <c r="AA542" t="s">
        <v>6356</v>
      </c>
      <c r="AB542" t="s">
        <v>6357</v>
      </c>
      <c r="AC542" t="s">
        <v>74</v>
      </c>
      <c r="AD542" t="s">
        <v>74</v>
      </c>
      <c r="AE542" t="s">
        <v>74</v>
      </c>
      <c r="AF542" t="s">
        <v>74</v>
      </c>
      <c r="AG542">
        <v>50</v>
      </c>
      <c r="AH542">
        <v>23</v>
      </c>
      <c r="AI542">
        <v>24</v>
      </c>
      <c r="AJ542">
        <v>0</v>
      </c>
      <c r="AK542">
        <v>17</v>
      </c>
      <c r="AL542" t="s">
        <v>5781</v>
      </c>
      <c r="AM542" t="s">
        <v>5782</v>
      </c>
      <c r="AN542" t="s">
        <v>5783</v>
      </c>
      <c r="AO542" t="s">
        <v>6358</v>
      </c>
      <c r="AP542" t="s">
        <v>6359</v>
      </c>
      <c r="AQ542" t="s">
        <v>74</v>
      </c>
      <c r="AR542" t="s">
        <v>6360</v>
      </c>
      <c r="AS542" t="s">
        <v>6361</v>
      </c>
      <c r="AT542" t="s">
        <v>5893</v>
      </c>
      <c r="AU542">
        <v>2008</v>
      </c>
      <c r="AV542">
        <v>70</v>
      </c>
      <c r="AW542">
        <v>1</v>
      </c>
      <c r="AX542" t="s">
        <v>74</v>
      </c>
      <c r="AY542" t="s">
        <v>74</v>
      </c>
      <c r="AZ542" t="s">
        <v>74</v>
      </c>
      <c r="BA542" t="s">
        <v>74</v>
      </c>
      <c r="BB542">
        <v>99</v>
      </c>
      <c r="BC542">
        <v>105</v>
      </c>
      <c r="BD542" t="s">
        <v>74</v>
      </c>
      <c r="BE542" t="s">
        <v>6362</v>
      </c>
      <c r="BF542" t="str">
        <f>HYPERLINK("http://dx.doi.org/10.1016/j.ecoenv.2007.06.014","http://dx.doi.org/10.1016/j.ecoenv.2007.06.014")</f>
        <v>http://dx.doi.org/10.1016/j.ecoenv.2007.06.014</v>
      </c>
      <c r="BG542" t="s">
        <v>74</v>
      </c>
      <c r="BH542" t="s">
        <v>74</v>
      </c>
      <c r="BI542">
        <v>7</v>
      </c>
      <c r="BJ542" t="s">
        <v>6363</v>
      </c>
      <c r="BK542" t="s">
        <v>419</v>
      </c>
      <c r="BL542" t="s">
        <v>6364</v>
      </c>
      <c r="BM542" t="s">
        <v>6365</v>
      </c>
      <c r="BN542">
        <v>17920682</v>
      </c>
      <c r="BO542" t="s">
        <v>74</v>
      </c>
      <c r="BP542" t="s">
        <v>74</v>
      </c>
      <c r="BQ542" t="s">
        <v>74</v>
      </c>
      <c r="BR542" t="s">
        <v>101</v>
      </c>
      <c r="BS542" t="s">
        <v>6366</v>
      </c>
      <c r="BT542" t="str">
        <f>HYPERLINK("https%3A%2F%2Fwww.webofscience.com%2Fwos%2Fwoscc%2Ffull-record%2FWOS:000256207500012","View Full Record in Web of Science")</f>
        <v>View Full Record in Web of Science</v>
      </c>
    </row>
    <row r="543" spans="1:72" x14ac:dyDescent="0.15">
      <c r="A543" t="s">
        <v>72</v>
      </c>
      <c r="B543" t="s">
        <v>6367</v>
      </c>
      <c r="C543" t="s">
        <v>74</v>
      </c>
      <c r="D543" t="s">
        <v>74</v>
      </c>
      <c r="E543" t="s">
        <v>74</v>
      </c>
      <c r="F543" t="s">
        <v>6368</v>
      </c>
      <c r="G543" t="s">
        <v>74</v>
      </c>
      <c r="H543" t="s">
        <v>74</v>
      </c>
      <c r="I543" t="s">
        <v>6369</v>
      </c>
      <c r="J543" t="s">
        <v>6370</v>
      </c>
      <c r="K543" t="s">
        <v>74</v>
      </c>
      <c r="L543" t="s">
        <v>74</v>
      </c>
      <c r="M543" t="s">
        <v>78</v>
      </c>
      <c r="N543" t="s">
        <v>2737</v>
      </c>
      <c r="O543" t="s">
        <v>74</v>
      </c>
      <c r="P543" t="s">
        <v>74</v>
      </c>
      <c r="Q543" t="s">
        <v>74</v>
      </c>
      <c r="R543" t="s">
        <v>74</v>
      </c>
      <c r="S543" t="s">
        <v>74</v>
      </c>
      <c r="T543" t="s">
        <v>6371</v>
      </c>
      <c r="U543" t="s">
        <v>6372</v>
      </c>
      <c r="V543" t="s">
        <v>6373</v>
      </c>
      <c r="W543" t="s">
        <v>6374</v>
      </c>
      <c r="X543" t="s">
        <v>6375</v>
      </c>
      <c r="Y543" t="s">
        <v>6376</v>
      </c>
      <c r="Z543" t="s">
        <v>6377</v>
      </c>
      <c r="AA543" t="s">
        <v>6378</v>
      </c>
      <c r="AB543" t="s">
        <v>6379</v>
      </c>
      <c r="AC543" t="s">
        <v>74</v>
      </c>
      <c r="AD543" t="s">
        <v>74</v>
      </c>
      <c r="AE543" t="s">
        <v>74</v>
      </c>
      <c r="AF543" t="s">
        <v>74</v>
      </c>
      <c r="AG543">
        <v>42</v>
      </c>
      <c r="AH543">
        <v>60</v>
      </c>
      <c r="AI543">
        <v>65</v>
      </c>
      <c r="AJ543">
        <v>1</v>
      </c>
      <c r="AK543">
        <v>13</v>
      </c>
      <c r="AL543" t="s">
        <v>6380</v>
      </c>
      <c r="AM543" t="s">
        <v>5393</v>
      </c>
      <c r="AN543" t="s">
        <v>6381</v>
      </c>
      <c r="AO543" t="s">
        <v>6382</v>
      </c>
      <c r="AP543" t="s">
        <v>6383</v>
      </c>
      <c r="AQ543" t="s">
        <v>74</v>
      </c>
      <c r="AR543" t="s">
        <v>6370</v>
      </c>
      <c r="AS543" t="s">
        <v>6384</v>
      </c>
      <c r="AT543" t="s">
        <v>5893</v>
      </c>
      <c r="AU543">
        <v>2008</v>
      </c>
      <c r="AV543">
        <v>12</v>
      </c>
      <c r="AW543">
        <v>3</v>
      </c>
      <c r="AX543" t="s">
        <v>74</v>
      </c>
      <c r="AY543" t="s">
        <v>74</v>
      </c>
      <c r="AZ543" t="s">
        <v>74</v>
      </c>
      <c r="BA543" t="s">
        <v>74</v>
      </c>
      <c r="BB543">
        <v>311</v>
      </c>
      <c r="BC543">
        <v>323</v>
      </c>
      <c r="BD543" t="s">
        <v>74</v>
      </c>
      <c r="BE543" t="s">
        <v>6385</v>
      </c>
      <c r="BF543" t="str">
        <f>HYPERLINK("http://dx.doi.org/10.1007/s00792-008-0163-9","http://dx.doi.org/10.1007/s00792-008-0163-9")</f>
        <v>http://dx.doi.org/10.1007/s00792-008-0163-9</v>
      </c>
      <c r="BG543" t="s">
        <v>74</v>
      </c>
      <c r="BH543" t="s">
        <v>74</v>
      </c>
      <c r="BI543">
        <v>13</v>
      </c>
      <c r="BJ543" t="s">
        <v>6386</v>
      </c>
      <c r="BK543" t="s">
        <v>419</v>
      </c>
      <c r="BL543" t="s">
        <v>6386</v>
      </c>
      <c r="BM543" t="s">
        <v>6387</v>
      </c>
      <c r="BN543">
        <v>18437283</v>
      </c>
      <c r="BO543" t="s">
        <v>74</v>
      </c>
      <c r="BP543" t="s">
        <v>74</v>
      </c>
      <c r="BQ543" t="s">
        <v>74</v>
      </c>
      <c r="BR543" t="s">
        <v>101</v>
      </c>
      <c r="BS543" t="s">
        <v>6388</v>
      </c>
      <c r="BT543" t="str">
        <f>HYPERLINK("https%3A%2F%2Fwww.webofscience.com%2Fwos%2Fwoscc%2Ffull-record%2FWOS:000255569900001","View Full Record in Web of Science")</f>
        <v>View Full Record in Web of Science</v>
      </c>
    </row>
    <row r="544" spans="1:72" x14ac:dyDescent="0.15">
      <c r="A544" t="s">
        <v>72</v>
      </c>
      <c r="B544" t="s">
        <v>6389</v>
      </c>
      <c r="C544" t="s">
        <v>74</v>
      </c>
      <c r="D544" t="s">
        <v>74</v>
      </c>
      <c r="E544" t="s">
        <v>74</v>
      </c>
      <c r="F544" t="s">
        <v>6390</v>
      </c>
      <c r="G544" t="s">
        <v>74</v>
      </c>
      <c r="H544" t="s">
        <v>74</v>
      </c>
      <c r="I544" t="s">
        <v>6391</v>
      </c>
      <c r="J544" t="s">
        <v>6392</v>
      </c>
      <c r="K544" t="s">
        <v>74</v>
      </c>
      <c r="L544" t="s">
        <v>74</v>
      </c>
      <c r="M544" t="s">
        <v>78</v>
      </c>
      <c r="N544" t="s">
        <v>2737</v>
      </c>
      <c r="O544" t="s">
        <v>74</v>
      </c>
      <c r="P544" t="s">
        <v>74</v>
      </c>
      <c r="Q544" t="s">
        <v>74</v>
      </c>
      <c r="R544" t="s">
        <v>74</v>
      </c>
      <c r="S544" t="s">
        <v>74</v>
      </c>
      <c r="T544" t="s">
        <v>74</v>
      </c>
      <c r="U544" t="s">
        <v>6393</v>
      </c>
      <c r="V544" t="s">
        <v>6394</v>
      </c>
      <c r="W544" t="s">
        <v>6395</v>
      </c>
      <c r="X544" t="s">
        <v>6396</v>
      </c>
      <c r="Y544" t="s">
        <v>6397</v>
      </c>
      <c r="Z544" t="s">
        <v>6398</v>
      </c>
      <c r="AA544" t="s">
        <v>6399</v>
      </c>
      <c r="AB544" t="s">
        <v>74</v>
      </c>
      <c r="AC544" t="s">
        <v>3667</v>
      </c>
      <c r="AD544" t="s">
        <v>2792</v>
      </c>
      <c r="AE544" t="s">
        <v>74</v>
      </c>
      <c r="AF544" t="s">
        <v>74</v>
      </c>
      <c r="AG544">
        <v>80</v>
      </c>
      <c r="AH544">
        <v>26</v>
      </c>
      <c r="AI544">
        <v>28</v>
      </c>
      <c r="AJ544">
        <v>0</v>
      </c>
      <c r="AK544">
        <v>9</v>
      </c>
      <c r="AL544" t="s">
        <v>88</v>
      </c>
      <c r="AM544" t="s">
        <v>89</v>
      </c>
      <c r="AN544" t="s">
        <v>90</v>
      </c>
      <c r="AO544" t="s">
        <v>6400</v>
      </c>
      <c r="AP544" t="s">
        <v>6401</v>
      </c>
      <c r="AQ544" t="s">
        <v>74</v>
      </c>
      <c r="AR544" t="s">
        <v>6402</v>
      </c>
      <c r="AS544" t="s">
        <v>6403</v>
      </c>
      <c r="AT544" t="s">
        <v>5868</v>
      </c>
      <c r="AU544">
        <v>2008</v>
      </c>
      <c r="AV544">
        <v>23</v>
      </c>
      <c r="AW544">
        <v>3</v>
      </c>
      <c r="AX544" t="s">
        <v>74</v>
      </c>
      <c r="AY544" t="s">
        <v>74</v>
      </c>
      <c r="AZ544" t="s">
        <v>74</v>
      </c>
      <c r="BA544" t="s">
        <v>74</v>
      </c>
      <c r="BB544">
        <v>351</v>
      </c>
      <c r="BC544">
        <v>373</v>
      </c>
      <c r="BD544" t="s">
        <v>74</v>
      </c>
      <c r="BE544" t="s">
        <v>6404</v>
      </c>
      <c r="BF544" t="str">
        <f>HYPERLINK("http://dx.doi.org/10.1002/gea.20219","http://dx.doi.org/10.1002/gea.20219")</f>
        <v>http://dx.doi.org/10.1002/gea.20219</v>
      </c>
      <c r="BG544" t="s">
        <v>74</v>
      </c>
      <c r="BH544" t="s">
        <v>74</v>
      </c>
      <c r="BI544">
        <v>23</v>
      </c>
      <c r="BJ544" t="s">
        <v>6405</v>
      </c>
      <c r="BK544" t="s">
        <v>6406</v>
      </c>
      <c r="BL544" t="s">
        <v>6407</v>
      </c>
      <c r="BM544" t="s">
        <v>6408</v>
      </c>
      <c r="BN544" t="s">
        <v>74</v>
      </c>
      <c r="BO544" t="s">
        <v>74</v>
      </c>
      <c r="BP544" t="s">
        <v>74</v>
      </c>
      <c r="BQ544" t="s">
        <v>74</v>
      </c>
      <c r="BR544" t="s">
        <v>101</v>
      </c>
      <c r="BS544" t="s">
        <v>6409</v>
      </c>
      <c r="BT544" t="str">
        <f>HYPERLINK("https%3A%2F%2Fwww.webofscience.com%2Fwos%2Fwoscc%2Ffull-record%2FWOS:000255229700003","View Full Record in Web of Science")</f>
        <v>View Full Record in Web of Science</v>
      </c>
    </row>
    <row r="545" spans="1:72" x14ac:dyDescent="0.15">
      <c r="A545" t="s">
        <v>72</v>
      </c>
      <c r="B545" t="s">
        <v>6410</v>
      </c>
      <c r="C545" t="s">
        <v>74</v>
      </c>
      <c r="D545" t="s">
        <v>74</v>
      </c>
      <c r="E545" t="s">
        <v>74</v>
      </c>
      <c r="F545" t="s">
        <v>6411</v>
      </c>
      <c r="G545" t="s">
        <v>74</v>
      </c>
      <c r="H545" t="s">
        <v>74</v>
      </c>
      <c r="I545" t="s">
        <v>6412</v>
      </c>
      <c r="J545" t="s">
        <v>6413</v>
      </c>
      <c r="K545" t="s">
        <v>74</v>
      </c>
      <c r="L545" t="s">
        <v>74</v>
      </c>
      <c r="M545" t="s">
        <v>78</v>
      </c>
      <c r="N545" t="s">
        <v>2958</v>
      </c>
      <c r="O545" t="s">
        <v>74</v>
      </c>
      <c r="P545" t="s">
        <v>74</v>
      </c>
      <c r="Q545" t="s">
        <v>74</v>
      </c>
      <c r="R545" t="s">
        <v>74</v>
      </c>
      <c r="S545" t="s">
        <v>74</v>
      </c>
      <c r="T545" t="s">
        <v>6414</v>
      </c>
      <c r="U545" t="s">
        <v>6415</v>
      </c>
      <c r="V545" t="s">
        <v>6416</v>
      </c>
      <c r="W545" t="s">
        <v>6417</v>
      </c>
      <c r="X545" t="s">
        <v>6418</v>
      </c>
      <c r="Y545" t="s">
        <v>6419</v>
      </c>
      <c r="Z545" t="s">
        <v>6420</v>
      </c>
      <c r="AA545" t="s">
        <v>6421</v>
      </c>
      <c r="AB545" t="s">
        <v>6422</v>
      </c>
      <c r="AC545" t="s">
        <v>74</v>
      </c>
      <c r="AD545" t="s">
        <v>74</v>
      </c>
      <c r="AE545" t="s">
        <v>74</v>
      </c>
      <c r="AF545" t="s">
        <v>74</v>
      </c>
      <c r="AG545">
        <v>102</v>
      </c>
      <c r="AH545">
        <v>134</v>
      </c>
      <c r="AI545">
        <v>150</v>
      </c>
      <c r="AJ545">
        <v>2</v>
      </c>
      <c r="AK545">
        <v>46</v>
      </c>
      <c r="AL545" t="s">
        <v>6423</v>
      </c>
      <c r="AM545" t="s">
        <v>6005</v>
      </c>
      <c r="AN545" t="s">
        <v>6424</v>
      </c>
      <c r="AO545" t="s">
        <v>6425</v>
      </c>
      <c r="AP545" t="s">
        <v>6426</v>
      </c>
      <c r="AQ545" t="s">
        <v>74</v>
      </c>
      <c r="AR545" t="s">
        <v>6427</v>
      </c>
      <c r="AS545" t="s">
        <v>6428</v>
      </c>
      <c r="AT545" t="s">
        <v>5868</v>
      </c>
      <c r="AU545">
        <v>2008</v>
      </c>
      <c r="AV545">
        <v>120</v>
      </c>
      <c r="AW545" t="s">
        <v>6429</v>
      </c>
      <c r="AX545" t="s">
        <v>74</v>
      </c>
      <c r="AY545" t="s">
        <v>74</v>
      </c>
      <c r="AZ545" t="s">
        <v>74</v>
      </c>
      <c r="BA545" t="s">
        <v>74</v>
      </c>
      <c r="BB545">
        <v>659</v>
      </c>
      <c r="BC545">
        <v>678</v>
      </c>
      <c r="BD545" t="s">
        <v>74</v>
      </c>
      <c r="BE545" t="s">
        <v>6430</v>
      </c>
      <c r="BF545" t="str">
        <f>HYPERLINK("http://dx.doi.org/10.1130/B26269.1","http://dx.doi.org/10.1130/B26269.1")</f>
        <v>http://dx.doi.org/10.1130/B26269.1</v>
      </c>
      <c r="BG545" t="s">
        <v>74</v>
      </c>
      <c r="BH545" t="s">
        <v>74</v>
      </c>
      <c r="BI545">
        <v>20</v>
      </c>
      <c r="BJ545" t="s">
        <v>3093</v>
      </c>
      <c r="BK545" t="s">
        <v>419</v>
      </c>
      <c r="BL545" t="s">
        <v>3094</v>
      </c>
      <c r="BM545" t="s">
        <v>6431</v>
      </c>
      <c r="BN545" t="s">
        <v>74</v>
      </c>
      <c r="BO545" t="s">
        <v>74</v>
      </c>
      <c r="BP545" t="s">
        <v>74</v>
      </c>
      <c r="BQ545" t="s">
        <v>74</v>
      </c>
      <c r="BR545" t="s">
        <v>101</v>
      </c>
      <c r="BS545" t="s">
        <v>6432</v>
      </c>
      <c r="BT545" t="str">
        <f>HYPERLINK("https%3A%2F%2Fwww.webofscience.com%2Fwos%2Fwoscc%2Ffull-record%2FWOS:000255850400010","View Full Record in Web of Science")</f>
        <v>View Full Record in Web of Science</v>
      </c>
    </row>
    <row r="546" spans="1:72" x14ac:dyDescent="0.15">
      <c r="A546" t="s">
        <v>72</v>
      </c>
      <c r="B546" t="s">
        <v>6433</v>
      </c>
      <c r="C546" t="s">
        <v>74</v>
      </c>
      <c r="D546" t="s">
        <v>74</v>
      </c>
      <c r="E546" t="s">
        <v>74</v>
      </c>
      <c r="F546" t="s">
        <v>6434</v>
      </c>
      <c r="G546" t="s">
        <v>74</v>
      </c>
      <c r="H546" t="s">
        <v>74</v>
      </c>
      <c r="I546" t="s">
        <v>6435</v>
      </c>
      <c r="J546" t="s">
        <v>6413</v>
      </c>
      <c r="K546" t="s">
        <v>74</v>
      </c>
      <c r="L546" t="s">
        <v>74</v>
      </c>
      <c r="M546" t="s">
        <v>78</v>
      </c>
      <c r="N546" t="s">
        <v>2737</v>
      </c>
      <c r="O546" t="s">
        <v>74</v>
      </c>
      <c r="P546" t="s">
        <v>74</v>
      </c>
      <c r="Q546" t="s">
        <v>74</v>
      </c>
      <c r="R546" t="s">
        <v>74</v>
      </c>
      <c r="S546" t="s">
        <v>74</v>
      </c>
      <c r="T546" t="s">
        <v>6436</v>
      </c>
      <c r="U546" t="s">
        <v>6437</v>
      </c>
      <c r="V546" t="s">
        <v>6438</v>
      </c>
      <c r="W546" t="s">
        <v>6439</v>
      </c>
      <c r="X546" t="s">
        <v>6440</v>
      </c>
      <c r="Y546" t="s">
        <v>6441</v>
      </c>
      <c r="Z546" t="s">
        <v>6442</v>
      </c>
      <c r="AA546" t="s">
        <v>74</v>
      </c>
      <c r="AB546" t="s">
        <v>6443</v>
      </c>
      <c r="AC546" t="s">
        <v>6444</v>
      </c>
      <c r="AD546" t="s">
        <v>3031</v>
      </c>
      <c r="AE546" t="s">
        <v>74</v>
      </c>
      <c r="AF546" t="s">
        <v>74</v>
      </c>
      <c r="AG546">
        <v>76</v>
      </c>
      <c r="AH546">
        <v>35</v>
      </c>
      <c r="AI546">
        <v>38</v>
      </c>
      <c r="AJ546">
        <v>1</v>
      </c>
      <c r="AK546">
        <v>8</v>
      </c>
      <c r="AL546" t="s">
        <v>6423</v>
      </c>
      <c r="AM546" t="s">
        <v>6005</v>
      </c>
      <c r="AN546" t="s">
        <v>6424</v>
      </c>
      <c r="AO546" t="s">
        <v>6425</v>
      </c>
      <c r="AP546" t="s">
        <v>6426</v>
      </c>
      <c r="AQ546" t="s">
        <v>74</v>
      </c>
      <c r="AR546" t="s">
        <v>6427</v>
      </c>
      <c r="AS546" t="s">
        <v>6428</v>
      </c>
      <c r="AT546" t="s">
        <v>5868</v>
      </c>
      <c r="AU546">
        <v>2008</v>
      </c>
      <c r="AV546">
        <v>120</v>
      </c>
      <c r="AW546" t="s">
        <v>6429</v>
      </c>
      <c r="AX546" t="s">
        <v>74</v>
      </c>
      <c r="AY546" t="s">
        <v>74</v>
      </c>
      <c r="AZ546" t="s">
        <v>74</v>
      </c>
      <c r="BA546" t="s">
        <v>74</v>
      </c>
      <c r="BB546">
        <v>709</v>
      </c>
      <c r="BC546">
        <v>731</v>
      </c>
      <c r="BD546" t="s">
        <v>74</v>
      </c>
      <c r="BE546" t="s">
        <v>6445</v>
      </c>
      <c r="BF546" t="str">
        <f>HYPERLINK("http://dx.doi.org/10.1130/B26242.1","http://dx.doi.org/10.1130/B26242.1")</f>
        <v>http://dx.doi.org/10.1130/B26242.1</v>
      </c>
      <c r="BG546" t="s">
        <v>74</v>
      </c>
      <c r="BH546" t="s">
        <v>74</v>
      </c>
      <c r="BI546">
        <v>23</v>
      </c>
      <c r="BJ546" t="s">
        <v>3093</v>
      </c>
      <c r="BK546" t="s">
        <v>419</v>
      </c>
      <c r="BL546" t="s">
        <v>3094</v>
      </c>
      <c r="BM546" t="s">
        <v>6431</v>
      </c>
      <c r="BN546" t="s">
        <v>74</v>
      </c>
      <c r="BO546" t="s">
        <v>74</v>
      </c>
      <c r="BP546" t="s">
        <v>74</v>
      </c>
      <c r="BQ546" t="s">
        <v>74</v>
      </c>
      <c r="BR546" t="s">
        <v>101</v>
      </c>
      <c r="BS546" t="s">
        <v>6446</v>
      </c>
      <c r="BT546" t="str">
        <f>HYPERLINK("https%3A%2F%2Fwww.webofscience.com%2Fwos%2Fwoscc%2Ffull-record%2FWOS:000255850400013","View Full Record in Web of Science")</f>
        <v>View Full Record in Web of Science</v>
      </c>
    </row>
    <row r="547" spans="1:72" x14ac:dyDescent="0.15">
      <c r="A547" t="s">
        <v>72</v>
      </c>
      <c r="B547" t="s">
        <v>6447</v>
      </c>
      <c r="C547" t="s">
        <v>74</v>
      </c>
      <c r="D547" t="s">
        <v>74</v>
      </c>
      <c r="E547" t="s">
        <v>74</v>
      </c>
      <c r="F547" t="s">
        <v>6448</v>
      </c>
      <c r="G547" t="s">
        <v>74</v>
      </c>
      <c r="H547" t="s">
        <v>74</v>
      </c>
      <c r="I547" t="s">
        <v>6449</v>
      </c>
      <c r="J547" t="s">
        <v>6450</v>
      </c>
      <c r="K547" t="s">
        <v>74</v>
      </c>
      <c r="L547" t="s">
        <v>74</v>
      </c>
      <c r="M547" t="s">
        <v>78</v>
      </c>
      <c r="N547" t="s">
        <v>2737</v>
      </c>
      <c r="O547" t="s">
        <v>74</v>
      </c>
      <c r="P547" t="s">
        <v>74</v>
      </c>
      <c r="Q547" t="s">
        <v>74</v>
      </c>
      <c r="R547" t="s">
        <v>74</v>
      </c>
      <c r="S547" t="s">
        <v>74</v>
      </c>
      <c r="T547" t="s">
        <v>6451</v>
      </c>
      <c r="U547" t="s">
        <v>6452</v>
      </c>
      <c r="V547" t="s">
        <v>6453</v>
      </c>
      <c r="W547" t="s">
        <v>6454</v>
      </c>
      <c r="X547" t="s">
        <v>6455</v>
      </c>
      <c r="Y547" t="s">
        <v>6456</v>
      </c>
      <c r="Z547" t="s">
        <v>6457</v>
      </c>
      <c r="AA547" t="s">
        <v>74</v>
      </c>
      <c r="AB547" t="s">
        <v>6458</v>
      </c>
      <c r="AC547" t="s">
        <v>74</v>
      </c>
      <c r="AD547" t="s">
        <v>74</v>
      </c>
      <c r="AE547" t="s">
        <v>74</v>
      </c>
      <c r="AF547" t="s">
        <v>74</v>
      </c>
      <c r="AG547">
        <v>63</v>
      </c>
      <c r="AH547">
        <v>113</v>
      </c>
      <c r="AI547">
        <v>117</v>
      </c>
      <c r="AJ547">
        <v>0</v>
      </c>
      <c r="AK547">
        <v>15</v>
      </c>
      <c r="AL547" t="s">
        <v>3933</v>
      </c>
      <c r="AM547" t="s">
        <v>3258</v>
      </c>
      <c r="AN547" t="s">
        <v>3934</v>
      </c>
      <c r="AO547" t="s">
        <v>6459</v>
      </c>
      <c r="AP547" t="s">
        <v>6460</v>
      </c>
      <c r="AQ547" t="s">
        <v>74</v>
      </c>
      <c r="AR547" t="s">
        <v>6450</v>
      </c>
      <c r="AS547" t="s">
        <v>6461</v>
      </c>
      <c r="AT547" t="s">
        <v>6462</v>
      </c>
      <c r="AU547">
        <v>2008</v>
      </c>
      <c r="AV547">
        <v>97</v>
      </c>
      <c r="AW547" t="s">
        <v>5676</v>
      </c>
      <c r="AX547" t="s">
        <v>74</v>
      </c>
      <c r="AY547" t="s">
        <v>74</v>
      </c>
      <c r="AZ547" t="s">
        <v>74</v>
      </c>
      <c r="BA547" t="s">
        <v>74</v>
      </c>
      <c r="BB547">
        <v>157</v>
      </c>
      <c r="BC547">
        <v>177</v>
      </c>
      <c r="BD547" t="s">
        <v>74</v>
      </c>
      <c r="BE547" t="s">
        <v>6463</v>
      </c>
      <c r="BF547" t="str">
        <f>HYPERLINK("http://dx.doi.org/10.1016/j.geomorph.2007.02.050","http://dx.doi.org/10.1016/j.geomorph.2007.02.050")</f>
        <v>http://dx.doi.org/10.1016/j.geomorph.2007.02.050</v>
      </c>
      <c r="BG547" t="s">
        <v>74</v>
      </c>
      <c r="BH547" t="s">
        <v>74</v>
      </c>
      <c r="BI547">
        <v>21</v>
      </c>
      <c r="BJ547" t="s">
        <v>3015</v>
      </c>
      <c r="BK547" t="s">
        <v>419</v>
      </c>
      <c r="BL547" t="s">
        <v>3016</v>
      </c>
      <c r="BM547" t="s">
        <v>6464</v>
      </c>
      <c r="BN547" t="s">
        <v>74</v>
      </c>
      <c r="BO547" t="s">
        <v>74</v>
      </c>
      <c r="BP547" t="s">
        <v>74</v>
      </c>
      <c r="BQ547" t="s">
        <v>74</v>
      </c>
      <c r="BR547" t="s">
        <v>101</v>
      </c>
      <c r="BS547" t="s">
        <v>6465</v>
      </c>
      <c r="BT547" t="str">
        <f>HYPERLINK("https%3A%2F%2Fwww.webofscience.com%2Fwos%2Fwoscc%2Ffull-record%2FWOS:000255826300011","View Full Record in Web of Science")</f>
        <v>View Full Record in Web of Science</v>
      </c>
    </row>
    <row r="548" spans="1:72" x14ac:dyDescent="0.15">
      <c r="A548" t="s">
        <v>72</v>
      </c>
      <c r="B548" t="s">
        <v>6466</v>
      </c>
      <c r="C548" t="s">
        <v>74</v>
      </c>
      <c r="D548" t="s">
        <v>74</v>
      </c>
      <c r="E548" t="s">
        <v>74</v>
      </c>
      <c r="F548" t="s">
        <v>6467</v>
      </c>
      <c r="G548" t="s">
        <v>74</v>
      </c>
      <c r="H548" t="s">
        <v>74</v>
      </c>
      <c r="I548" t="s">
        <v>6468</v>
      </c>
      <c r="J548" t="s">
        <v>6450</v>
      </c>
      <c r="K548" t="s">
        <v>74</v>
      </c>
      <c r="L548" t="s">
        <v>74</v>
      </c>
      <c r="M548" t="s">
        <v>78</v>
      </c>
      <c r="N548" t="s">
        <v>2737</v>
      </c>
      <c r="O548" t="s">
        <v>74</v>
      </c>
      <c r="P548" t="s">
        <v>74</v>
      </c>
      <c r="Q548" t="s">
        <v>74</v>
      </c>
      <c r="R548" t="s">
        <v>74</v>
      </c>
      <c r="S548" t="s">
        <v>74</v>
      </c>
      <c r="T548" t="s">
        <v>6469</v>
      </c>
      <c r="U548" t="s">
        <v>6470</v>
      </c>
      <c r="V548" t="s">
        <v>6471</v>
      </c>
      <c r="W548" t="s">
        <v>6472</v>
      </c>
      <c r="X548" t="s">
        <v>6473</v>
      </c>
      <c r="Y548" t="s">
        <v>6474</v>
      </c>
      <c r="Z548" t="s">
        <v>6475</v>
      </c>
      <c r="AA548" t="s">
        <v>74</v>
      </c>
      <c r="AB548" t="s">
        <v>74</v>
      </c>
      <c r="AC548" t="s">
        <v>74</v>
      </c>
      <c r="AD548" t="s">
        <v>74</v>
      </c>
      <c r="AE548" t="s">
        <v>74</v>
      </c>
      <c r="AF548" t="s">
        <v>74</v>
      </c>
      <c r="AG548">
        <v>39</v>
      </c>
      <c r="AH548">
        <v>55</v>
      </c>
      <c r="AI548">
        <v>64</v>
      </c>
      <c r="AJ548">
        <v>0</v>
      </c>
      <c r="AK548">
        <v>15</v>
      </c>
      <c r="AL548" t="s">
        <v>3257</v>
      </c>
      <c r="AM548" t="s">
        <v>3258</v>
      </c>
      <c r="AN548" t="s">
        <v>3259</v>
      </c>
      <c r="AO548" t="s">
        <v>6459</v>
      </c>
      <c r="AP548" t="s">
        <v>6460</v>
      </c>
      <c r="AQ548" t="s">
        <v>74</v>
      </c>
      <c r="AR548" t="s">
        <v>6450</v>
      </c>
      <c r="AS548" t="s">
        <v>6461</v>
      </c>
      <c r="AT548" t="s">
        <v>6462</v>
      </c>
      <c r="AU548">
        <v>2008</v>
      </c>
      <c r="AV548">
        <v>97</v>
      </c>
      <c r="AW548" t="s">
        <v>5676</v>
      </c>
      <c r="AX548" t="s">
        <v>74</v>
      </c>
      <c r="AY548" t="s">
        <v>74</v>
      </c>
      <c r="AZ548" t="s">
        <v>74</v>
      </c>
      <c r="BA548" t="s">
        <v>74</v>
      </c>
      <c r="BB548">
        <v>208</v>
      </c>
      <c r="BC548">
        <v>217</v>
      </c>
      <c r="BD548" t="s">
        <v>74</v>
      </c>
      <c r="BE548" t="s">
        <v>6476</v>
      </c>
      <c r="BF548" t="str">
        <f>HYPERLINK("http://dx.doi.org/10.1016/j.geomorph.2007.02.043","http://dx.doi.org/10.1016/j.geomorph.2007.02.043")</f>
        <v>http://dx.doi.org/10.1016/j.geomorph.2007.02.043</v>
      </c>
      <c r="BG548" t="s">
        <v>74</v>
      </c>
      <c r="BH548" t="s">
        <v>74</v>
      </c>
      <c r="BI548">
        <v>10</v>
      </c>
      <c r="BJ548" t="s">
        <v>3015</v>
      </c>
      <c r="BK548" t="s">
        <v>419</v>
      </c>
      <c r="BL548" t="s">
        <v>3016</v>
      </c>
      <c r="BM548" t="s">
        <v>6464</v>
      </c>
      <c r="BN548" t="s">
        <v>74</v>
      </c>
      <c r="BO548" t="s">
        <v>74</v>
      </c>
      <c r="BP548" t="s">
        <v>74</v>
      </c>
      <c r="BQ548" t="s">
        <v>74</v>
      </c>
      <c r="BR548" t="s">
        <v>101</v>
      </c>
      <c r="BS548" t="s">
        <v>6477</v>
      </c>
      <c r="BT548" t="str">
        <f>HYPERLINK("https%3A%2F%2Fwww.webofscience.com%2Fwos%2Fwoscc%2Ffull-record%2FWOS:000255826300014","View Full Record in Web of Science")</f>
        <v>View Full Record in Web of Science</v>
      </c>
    </row>
    <row r="549" spans="1:72" x14ac:dyDescent="0.15">
      <c r="A549" t="s">
        <v>72</v>
      </c>
      <c r="B549" t="s">
        <v>6478</v>
      </c>
      <c r="C549" t="s">
        <v>74</v>
      </c>
      <c r="D549" t="s">
        <v>74</v>
      </c>
      <c r="E549" t="s">
        <v>74</v>
      </c>
      <c r="F549" t="s">
        <v>6479</v>
      </c>
      <c r="G549" t="s">
        <v>74</v>
      </c>
      <c r="H549" t="s">
        <v>74</v>
      </c>
      <c r="I549" t="s">
        <v>6480</v>
      </c>
      <c r="J549" t="s">
        <v>6481</v>
      </c>
      <c r="K549" t="s">
        <v>74</v>
      </c>
      <c r="L549" t="s">
        <v>74</v>
      </c>
      <c r="M549" t="s">
        <v>78</v>
      </c>
      <c r="N549" t="s">
        <v>2737</v>
      </c>
      <c r="O549" t="s">
        <v>74</v>
      </c>
      <c r="P549" t="s">
        <v>74</v>
      </c>
      <c r="Q549" t="s">
        <v>74</v>
      </c>
      <c r="R549" t="s">
        <v>74</v>
      </c>
      <c r="S549" t="s">
        <v>74</v>
      </c>
      <c r="T549" t="s">
        <v>6482</v>
      </c>
      <c r="U549" t="s">
        <v>6483</v>
      </c>
      <c r="V549" t="s">
        <v>6484</v>
      </c>
      <c r="W549" t="s">
        <v>6485</v>
      </c>
      <c r="X549" t="s">
        <v>6486</v>
      </c>
      <c r="Y549" t="s">
        <v>6487</v>
      </c>
      <c r="Z549" t="s">
        <v>6488</v>
      </c>
      <c r="AA549" t="s">
        <v>6489</v>
      </c>
      <c r="AB549" t="s">
        <v>6490</v>
      </c>
      <c r="AC549" t="s">
        <v>74</v>
      </c>
      <c r="AD549" t="s">
        <v>74</v>
      </c>
      <c r="AE549" t="s">
        <v>74</v>
      </c>
      <c r="AF549" t="s">
        <v>74</v>
      </c>
      <c r="AG549">
        <v>44</v>
      </c>
      <c r="AH549">
        <v>13</v>
      </c>
      <c r="AI549">
        <v>15</v>
      </c>
      <c r="AJ549">
        <v>2</v>
      </c>
      <c r="AK549">
        <v>5</v>
      </c>
      <c r="AL549" t="s">
        <v>3933</v>
      </c>
      <c r="AM549" t="s">
        <v>3258</v>
      </c>
      <c r="AN549" t="s">
        <v>3934</v>
      </c>
      <c r="AO549" t="s">
        <v>6491</v>
      </c>
      <c r="AP549" t="s">
        <v>6492</v>
      </c>
      <c r="AQ549" t="s">
        <v>74</v>
      </c>
      <c r="AR549" t="s">
        <v>6493</v>
      </c>
      <c r="AS549" t="s">
        <v>6494</v>
      </c>
      <c r="AT549" t="s">
        <v>5893</v>
      </c>
      <c r="AU549">
        <v>2008</v>
      </c>
      <c r="AV549">
        <v>62</v>
      </c>
      <c r="AW549" t="s">
        <v>5676</v>
      </c>
      <c r="AX549" t="s">
        <v>74</v>
      </c>
      <c r="AY549" t="s">
        <v>74</v>
      </c>
      <c r="AZ549" t="s">
        <v>74</v>
      </c>
      <c r="BA549" t="s">
        <v>74</v>
      </c>
      <c r="BB549">
        <v>61</v>
      </c>
      <c r="BC549" t="s">
        <v>3131</v>
      </c>
      <c r="BD549" t="s">
        <v>74</v>
      </c>
      <c r="BE549" t="s">
        <v>6495</v>
      </c>
      <c r="BF549" t="str">
        <f>HYPERLINK("http://dx.doi.org/10.1016/j.gloplacha.2007.11.004","http://dx.doi.org/10.1016/j.gloplacha.2007.11.004")</f>
        <v>http://dx.doi.org/10.1016/j.gloplacha.2007.11.004</v>
      </c>
      <c r="BG549" t="s">
        <v>74</v>
      </c>
      <c r="BH549" t="s">
        <v>74</v>
      </c>
      <c r="BI549">
        <v>14</v>
      </c>
      <c r="BJ549" t="s">
        <v>3015</v>
      </c>
      <c r="BK549" t="s">
        <v>419</v>
      </c>
      <c r="BL549" t="s">
        <v>3016</v>
      </c>
      <c r="BM549" t="s">
        <v>6496</v>
      </c>
      <c r="BN549" t="s">
        <v>74</v>
      </c>
      <c r="BO549" t="s">
        <v>74</v>
      </c>
      <c r="BP549" t="s">
        <v>74</v>
      </c>
      <c r="BQ549" t="s">
        <v>74</v>
      </c>
      <c r="BR549" t="s">
        <v>101</v>
      </c>
      <c r="BS549" t="s">
        <v>6497</v>
      </c>
      <c r="BT549" t="str">
        <f>HYPERLINK("https%3A%2F%2Fwww.webofscience.com%2Fwos%2Fwoscc%2Ffull-record%2FWOS:000256631100005","View Full Record in Web of Science")</f>
        <v>View Full Record in Web of Science</v>
      </c>
    </row>
    <row r="550" spans="1:72" x14ac:dyDescent="0.15">
      <c r="A550" t="s">
        <v>72</v>
      </c>
      <c r="B550" t="s">
        <v>6498</v>
      </c>
      <c r="C550" t="s">
        <v>74</v>
      </c>
      <c r="D550" t="s">
        <v>74</v>
      </c>
      <c r="E550" t="s">
        <v>74</v>
      </c>
      <c r="F550" t="s">
        <v>6499</v>
      </c>
      <c r="G550" t="s">
        <v>74</v>
      </c>
      <c r="H550" t="s">
        <v>74</v>
      </c>
      <c r="I550" t="s">
        <v>6500</v>
      </c>
      <c r="J550" t="s">
        <v>6481</v>
      </c>
      <c r="K550" t="s">
        <v>74</v>
      </c>
      <c r="L550" t="s">
        <v>74</v>
      </c>
      <c r="M550" t="s">
        <v>78</v>
      </c>
      <c r="N550" t="s">
        <v>2737</v>
      </c>
      <c r="O550" t="s">
        <v>74</v>
      </c>
      <c r="P550" t="s">
        <v>74</v>
      </c>
      <c r="Q550" t="s">
        <v>74</v>
      </c>
      <c r="R550" t="s">
        <v>74</v>
      </c>
      <c r="S550" t="s">
        <v>74</v>
      </c>
      <c r="T550" t="s">
        <v>6501</v>
      </c>
      <c r="U550" t="s">
        <v>6502</v>
      </c>
      <c r="V550" t="s">
        <v>6503</v>
      </c>
      <c r="W550" t="s">
        <v>6504</v>
      </c>
      <c r="X550" t="s">
        <v>6505</v>
      </c>
      <c r="Y550" t="s">
        <v>6506</v>
      </c>
      <c r="Z550" t="s">
        <v>6507</v>
      </c>
      <c r="AA550" t="s">
        <v>6508</v>
      </c>
      <c r="AB550" t="s">
        <v>6509</v>
      </c>
      <c r="AC550" t="s">
        <v>74</v>
      </c>
      <c r="AD550" t="s">
        <v>74</v>
      </c>
      <c r="AE550" t="s">
        <v>74</v>
      </c>
      <c r="AF550" t="s">
        <v>74</v>
      </c>
      <c r="AG550">
        <v>51</v>
      </c>
      <c r="AH550">
        <v>11</v>
      </c>
      <c r="AI550">
        <v>12</v>
      </c>
      <c r="AJ550">
        <v>0</v>
      </c>
      <c r="AK550">
        <v>4</v>
      </c>
      <c r="AL550" t="s">
        <v>3933</v>
      </c>
      <c r="AM550" t="s">
        <v>3258</v>
      </c>
      <c r="AN550" t="s">
        <v>3934</v>
      </c>
      <c r="AO550" t="s">
        <v>6491</v>
      </c>
      <c r="AP550" t="s">
        <v>6492</v>
      </c>
      <c r="AQ550" t="s">
        <v>74</v>
      </c>
      <c r="AR550" t="s">
        <v>6493</v>
      </c>
      <c r="AS550" t="s">
        <v>6494</v>
      </c>
      <c r="AT550" t="s">
        <v>5893</v>
      </c>
      <c r="AU550">
        <v>2008</v>
      </c>
      <c r="AV550">
        <v>62</v>
      </c>
      <c r="AW550" t="s">
        <v>5676</v>
      </c>
      <c r="AX550" t="s">
        <v>74</v>
      </c>
      <c r="AY550" t="s">
        <v>74</v>
      </c>
      <c r="AZ550" t="s">
        <v>74</v>
      </c>
      <c r="BA550" t="s">
        <v>74</v>
      </c>
      <c r="BB550">
        <v>115</v>
      </c>
      <c r="BC550">
        <v>131</v>
      </c>
      <c r="BD550" t="s">
        <v>74</v>
      </c>
      <c r="BE550" t="s">
        <v>6510</v>
      </c>
      <c r="BF550" t="str">
        <f>HYPERLINK("http://dx.doi.org/10.1016/j.gloplacha.2008.01.001","http://dx.doi.org/10.1016/j.gloplacha.2008.01.001")</f>
        <v>http://dx.doi.org/10.1016/j.gloplacha.2008.01.001</v>
      </c>
      <c r="BG550" t="s">
        <v>74</v>
      </c>
      <c r="BH550" t="s">
        <v>74</v>
      </c>
      <c r="BI550">
        <v>17</v>
      </c>
      <c r="BJ550" t="s">
        <v>3015</v>
      </c>
      <c r="BK550" t="s">
        <v>419</v>
      </c>
      <c r="BL550" t="s">
        <v>3016</v>
      </c>
      <c r="BM550" t="s">
        <v>6496</v>
      </c>
      <c r="BN550" t="s">
        <v>74</v>
      </c>
      <c r="BO550" t="s">
        <v>74</v>
      </c>
      <c r="BP550" t="s">
        <v>74</v>
      </c>
      <c r="BQ550" t="s">
        <v>74</v>
      </c>
      <c r="BR550" t="s">
        <v>101</v>
      </c>
      <c r="BS550" t="s">
        <v>6511</v>
      </c>
      <c r="BT550" t="str">
        <f>HYPERLINK("https%3A%2F%2Fwww.webofscience.com%2Fwos%2Fwoscc%2Ffull-record%2FWOS:000256631100009","View Full Record in Web of Science")</f>
        <v>View Full Record in Web of Science</v>
      </c>
    </row>
    <row r="551" spans="1:72" x14ac:dyDescent="0.15">
      <c r="A551" t="s">
        <v>72</v>
      </c>
      <c r="B551" t="s">
        <v>6512</v>
      </c>
      <c r="C551" t="s">
        <v>74</v>
      </c>
      <c r="D551" t="s">
        <v>74</v>
      </c>
      <c r="E551" t="s">
        <v>74</v>
      </c>
      <c r="F551" t="s">
        <v>6513</v>
      </c>
      <c r="G551" t="s">
        <v>74</v>
      </c>
      <c r="H551" t="s">
        <v>74</v>
      </c>
      <c r="I551" t="s">
        <v>6514</v>
      </c>
      <c r="J551" t="s">
        <v>6515</v>
      </c>
      <c r="K551" t="s">
        <v>74</v>
      </c>
      <c r="L551" t="s">
        <v>74</v>
      </c>
      <c r="M551" t="s">
        <v>78</v>
      </c>
      <c r="N551" t="s">
        <v>2737</v>
      </c>
      <c r="O551" t="s">
        <v>74</v>
      </c>
      <c r="P551" t="s">
        <v>74</v>
      </c>
      <c r="Q551" t="s">
        <v>74</v>
      </c>
      <c r="R551" t="s">
        <v>74</v>
      </c>
      <c r="S551" t="s">
        <v>74</v>
      </c>
      <c r="T551" t="s">
        <v>6516</v>
      </c>
      <c r="U551" t="s">
        <v>6517</v>
      </c>
      <c r="V551" t="s">
        <v>6518</v>
      </c>
      <c r="W551" t="s">
        <v>6519</v>
      </c>
      <c r="X551" t="s">
        <v>6520</v>
      </c>
      <c r="Y551" t="s">
        <v>6521</v>
      </c>
      <c r="Z551" t="s">
        <v>6522</v>
      </c>
      <c r="AA551" t="s">
        <v>6523</v>
      </c>
      <c r="AB551" t="s">
        <v>6524</v>
      </c>
      <c r="AC551" t="s">
        <v>3387</v>
      </c>
      <c r="AD551" t="s">
        <v>2792</v>
      </c>
      <c r="AE551" t="s">
        <v>74</v>
      </c>
      <c r="AF551" t="s">
        <v>74</v>
      </c>
      <c r="AG551">
        <v>59</v>
      </c>
      <c r="AH551">
        <v>230</v>
      </c>
      <c r="AI551">
        <v>251</v>
      </c>
      <c r="AJ551">
        <v>5</v>
      </c>
      <c r="AK551">
        <v>93</v>
      </c>
      <c r="AL551" t="s">
        <v>88</v>
      </c>
      <c r="AM551" t="s">
        <v>89</v>
      </c>
      <c r="AN551" t="s">
        <v>90</v>
      </c>
      <c r="AO551" t="s">
        <v>6525</v>
      </c>
      <c r="AP551" t="s">
        <v>6526</v>
      </c>
      <c r="AQ551" t="s">
        <v>74</v>
      </c>
      <c r="AR551" t="s">
        <v>6527</v>
      </c>
      <c r="AS551" t="s">
        <v>6528</v>
      </c>
      <c r="AT551" t="s">
        <v>5893</v>
      </c>
      <c r="AU551">
        <v>2008</v>
      </c>
      <c r="AV551">
        <v>17</v>
      </c>
      <c r="AW551">
        <v>3</v>
      </c>
      <c r="AX551" t="s">
        <v>74</v>
      </c>
      <c r="AY551" t="s">
        <v>74</v>
      </c>
      <c r="AZ551" t="s">
        <v>74</v>
      </c>
      <c r="BA551" t="s">
        <v>74</v>
      </c>
      <c r="BB551">
        <v>432</v>
      </c>
      <c r="BC551">
        <v>447</v>
      </c>
      <c r="BD551" t="s">
        <v>74</v>
      </c>
      <c r="BE551" t="s">
        <v>6529</v>
      </c>
      <c r="BF551" t="str">
        <f>HYPERLINK("http://dx.doi.org/10.1111/j.1466-8238.2008.00381.x","http://dx.doi.org/10.1111/j.1466-8238.2008.00381.x")</f>
        <v>http://dx.doi.org/10.1111/j.1466-8238.2008.00381.x</v>
      </c>
      <c r="BG551" t="s">
        <v>74</v>
      </c>
      <c r="BH551" t="s">
        <v>74</v>
      </c>
      <c r="BI551">
        <v>16</v>
      </c>
      <c r="BJ551" t="s">
        <v>6530</v>
      </c>
      <c r="BK551" t="s">
        <v>419</v>
      </c>
      <c r="BL551" t="s">
        <v>5992</v>
      </c>
      <c r="BM551" t="s">
        <v>6531</v>
      </c>
      <c r="BN551" t="s">
        <v>74</v>
      </c>
      <c r="BO551" t="s">
        <v>3290</v>
      </c>
      <c r="BP551" t="s">
        <v>74</v>
      </c>
      <c r="BQ551" t="s">
        <v>74</v>
      </c>
      <c r="BR551" t="s">
        <v>101</v>
      </c>
      <c r="BS551" t="s">
        <v>6532</v>
      </c>
      <c r="BT551" t="str">
        <f>HYPERLINK("https%3A%2F%2Fwww.webofscience.com%2Fwos%2Fwoscc%2Ffull-record%2FWOS:000254948700012","View Full Record in Web of Science")</f>
        <v>View Full Record in Web of Science</v>
      </c>
    </row>
    <row r="552" spans="1:72" x14ac:dyDescent="0.15">
      <c r="A552" t="s">
        <v>72</v>
      </c>
      <c r="B552" t="s">
        <v>6533</v>
      </c>
      <c r="C552" t="s">
        <v>74</v>
      </c>
      <c r="D552" t="s">
        <v>74</v>
      </c>
      <c r="E552" t="s">
        <v>74</v>
      </c>
      <c r="F552" t="s">
        <v>6534</v>
      </c>
      <c r="G552" t="s">
        <v>74</v>
      </c>
      <c r="H552" t="s">
        <v>74</v>
      </c>
      <c r="I552" t="s">
        <v>6535</v>
      </c>
      <c r="J552" t="s">
        <v>6536</v>
      </c>
      <c r="K552" t="s">
        <v>74</v>
      </c>
      <c r="L552" t="s">
        <v>74</v>
      </c>
      <c r="M552" t="s">
        <v>78</v>
      </c>
      <c r="N552" t="s">
        <v>2737</v>
      </c>
      <c r="O552" t="s">
        <v>74</v>
      </c>
      <c r="P552" t="s">
        <v>74</v>
      </c>
      <c r="Q552" t="s">
        <v>74</v>
      </c>
      <c r="R552" t="s">
        <v>74</v>
      </c>
      <c r="S552" t="s">
        <v>74</v>
      </c>
      <c r="T552" t="s">
        <v>6537</v>
      </c>
      <c r="U552" t="s">
        <v>6538</v>
      </c>
      <c r="V552" t="s">
        <v>6539</v>
      </c>
      <c r="W552" t="s">
        <v>6540</v>
      </c>
      <c r="X552" t="s">
        <v>6541</v>
      </c>
      <c r="Y552" t="s">
        <v>6542</v>
      </c>
      <c r="Z552" t="s">
        <v>6543</v>
      </c>
      <c r="AA552" t="s">
        <v>6544</v>
      </c>
      <c r="AB552" t="s">
        <v>6545</v>
      </c>
      <c r="AC552" t="s">
        <v>74</v>
      </c>
      <c r="AD552" t="s">
        <v>74</v>
      </c>
      <c r="AE552" t="s">
        <v>74</v>
      </c>
      <c r="AF552" t="s">
        <v>74</v>
      </c>
      <c r="AG552">
        <v>36</v>
      </c>
      <c r="AH552">
        <v>132</v>
      </c>
      <c r="AI552">
        <v>151</v>
      </c>
      <c r="AJ552">
        <v>0</v>
      </c>
      <c r="AK552">
        <v>39</v>
      </c>
      <c r="AL552" t="s">
        <v>4682</v>
      </c>
      <c r="AM552" t="s">
        <v>3008</v>
      </c>
      <c r="AN552" t="s">
        <v>4683</v>
      </c>
      <c r="AO552" t="s">
        <v>6546</v>
      </c>
      <c r="AP552" t="s">
        <v>74</v>
      </c>
      <c r="AQ552" t="s">
        <v>74</v>
      </c>
      <c r="AR552" t="s">
        <v>6547</v>
      </c>
      <c r="AS552" t="s">
        <v>6548</v>
      </c>
      <c r="AT552" t="s">
        <v>5893</v>
      </c>
      <c r="AU552">
        <v>2008</v>
      </c>
      <c r="AV552">
        <v>65</v>
      </c>
      <c r="AW552">
        <v>4</v>
      </c>
      <c r="AX552" t="s">
        <v>74</v>
      </c>
      <c r="AY552" t="s">
        <v>74</v>
      </c>
      <c r="AZ552" t="s">
        <v>74</v>
      </c>
      <c r="BA552" t="s">
        <v>74</v>
      </c>
      <c r="BB552">
        <v>497</v>
      </c>
      <c r="BC552">
        <v>508</v>
      </c>
      <c r="BD552" t="s">
        <v>74</v>
      </c>
      <c r="BE552" t="s">
        <v>6549</v>
      </c>
      <c r="BF552" t="str">
        <f>HYPERLINK("http://dx.doi.org/10.1093/icesjms/fsn033","http://dx.doi.org/10.1093/icesjms/fsn033")</f>
        <v>http://dx.doi.org/10.1093/icesjms/fsn033</v>
      </c>
      <c r="BG552" t="s">
        <v>74</v>
      </c>
      <c r="BH552" t="s">
        <v>74</v>
      </c>
      <c r="BI552">
        <v>12</v>
      </c>
      <c r="BJ552" t="s">
        <v>6550</v>
      </c>
      <c r="BK552" t="s">
        <v>419</v>
      </c>
      <c r="BL552" t="s">
        <v>6550</v>
      </c>
      <c r="BM552" t="s">
        <v>6551</v>
      </c>
      <c r="BN552" t="s">
        <v>74</v>
      </c>
      <c r="BO552" t="s">
        <v>74</v>
      </c>
      <c r="BP552" t="s">
        <v>74</v>
      </c>
      <c r="BQ552" t="s">
        <v>74</v>
      </c>
      <c r="BR552" t="s">
        <v>101</v>
      </c>
      <c r="BS552" t="s">
        <v>6552</v>
      </c>
      <c r="BT552" t="str">
        <f>HYPERLINK("https%3A%2F%2Fwww.webofscience.com%2Fwos%2Fwoscc%2Ffull-record%2FWOS:000255816900001","View Full Record in Web of Science")</f>
        <v>View Full Record in Web of Science</v>
      </c>
    </row>
    <row r="553" spans="1:72" x14ac:dyDescent="0.15">
      <c r="A553" t="s">
        <v>72</v>
      </c>
      <c r="B553" t="s">
        <v>6553</v>
      </c>
      <c r="C553" t="s">
        <v>74</v>
      </c>
      <c r="D553" t="s">
        <v>74</v>
      </c>
      <c r="E553" t="s">
        <v>74</v>
      </c>
      <c r="F553" t="s">
        <v>6554</v>
      </c>
      <c r="G553" t="s">
        <v>74</v>
      </c>
      <c r="H553" t="s">
        <v>74</v>
      </c>
      <c r="I553" t="s">
        <v>6555</v>
      </c>
      <c r="J553" t="s">
        <v>6556</v>
      </c>
      <c r="K553" t="s">
        <v>74</v>
      </c>
      <c r="L553" t="s">
        <v>74</v>
      </c>
      <c r="M553" t="s">
        <v>78</v>
      </c>
      <c r="N553" t="s">
        <v>2737</v>
      </c>
      <c r="O553" t="s">
        <v>74</v>
      </c>
      <c r="P553" t="s">
        <v>74</v>
      </c>
      <c r="Q553" t="s">
        <v>74</v>
      </c>
      <c r="R553" t="s">
        <v>74</v>
      </c>
      <c r="S553" t="s">
        <v>74</v>
      </c>
      <c r="T553" t="s">
        <v>6557</v>
      </c>
      <c r="U553" t="s">
        <v>74</v>
      </c>
      <c r="V553" t="s">
        <v>6558</v>
      </c>
      <c r="W553" t="s">
        <v>6559</v>
      </c>
      <c r="X553" t="s">
        <v>3062</v>
      </c>
      <c r="Y553" t="s">
        <v>6560</v>
      </c>
      <c r="Z553" t="s">
        <v>6561</v>
      </c>
      <c r="AA553" t="s">
        <v>74</v>
      </c>
      <c r="AB553" t="s">
        <v>74</v>
      </c>
      <c r="AC553" t="s">
        <v>74</v>
      </c>
      <c r="AD553" t="s">
        <v>74</v>
      </c>
      <c r="AE553" t="s">
        <v>74</v>
      </c>
      <c r="AF553" t="s">
        <v>74</v>
      </c>
      <c r="AG553">
        <v>7</v>
      </c>
      <c r="AH553">
        <v>34</v>
      </c>
      <c r="AI553">
        <v>37</v>
      </c>
      <c r="AJ553">
        <v>0</v>
      </c>
      <c r="AK553">
        <v>1</v>
      </c>
      <c r="AL553" t="s">
        <v>3007</v>
      </c>
      <c r="AM553" t="s">
        <v>3008</v>
      </c>
      <c r="AN553" t="s">
        <v>3009</v>
      </c>
      <c r="AO553" t="s">
        <v>6562</v>
      </c>
      <c r="AP553" t="s">
        <v>6563</v>
      </c>
      <c r="AQ553" t="s">
        <v>74</v>
      </c>
      <c r="AR553" t="s">
        <v>6564</v>
      </c>
      <c r="AS553" t="s">
        <v>6565</v>
      </c>
      <c r="AT553" t="s">
        <v>5893</v>
      </c>
      <c r="AU553">
        <v>2008</v>
      </c>
      <c r="AV553">
        <v>70</v>
      </c>
      <c r="AW553">
        <v>7</v>
      </c>
      <c r="AX553" t="s">
        <v>74</v>
      </c>
      <c r="AY553" t="s">
        <v>74</v>
      </c>
      <c r="AZ553" t="s">
        <v>74</v>
      </c>
      <c r="BA553" t="s">
        <v>74</v>
      </c>
      <c r="BB553">
        <v>962</v>
      </c>
      <c r="BC553">
        <v>972</v>
      </c>
      <c r="BD553" t="s">
        <v>74</v>
      </c>
      <c r="BE553" t="s">
        <v>6566</v>
      </c>
      <c r="BF553" t="str">
        <f>HYPERLINK("http://dx.doi.org/10.1016/j.jastp.2007.11.004","http://dx.doi.org/10.1016/j.jastp.2007.11.004")</f>
        <v>http://dx.doi.org/10.1016/j.jastp.2007.11.004</v>
      </c>
      <c r="BG553" t="s">
        <v>74</v>
      </c>
      <c r="BH553" t="s">
        <v>74</v>
      </c>
      <c r="BI553">
        <v>11</v>
      </c>
      <c r="BJ553" t="s">
        <v>6567</v>
      </c>
      <c r="BK553" t="s">
        <v>419</v>
      </c>
      <c r="BL553" t="s">
        <v>6567</v>
      </c>
      <c r="BM553" t="s">
        <v>6568</v>
      </c>
      <c r="BN553" t="s">
        <v>74</v>
      </c>
      <c r="BO553" t="s">
        <v>74</v>
      </c>
      <c r="BP553" t="s">
        <v>74</v>
      </c>
      <c r="BQ553" t="s">
        <v>74</v>
      </c>
      <c r="BR553" t="s">
        <v>101</v>
      </c>
      <c r="BS553" t="s">
        <v>6569</v>
      </c>
      <c r="BT553" t="str">
        <f>HYPERLINK("https%3A%2F%2Fwww.webofscience.com%2Fwos%2Fwoscc%2Ffull-record%2FWOS:000255959200002","View Full Record in Web of Science")</f>
        <v>View Full Record in Web of Science</v>
      </c>
    </row>
    <row r="554" spans="1:72" x14ac:dyDescent="0.15">
      <c r="A554" t="s">
        <v>72</v>
      </c>
      <c r="B554" t="s">
        <v>6570</v>
      </c>
      <c r="C554" t="s">
        <v>74</v>
      </c>
      <c r="D554" t="s">
        <v>74</v>
      </c>
      <c r="E554" t="s">
        <v>74</v>
      </c>
      <c r="F554" t="s">
        <v>6571</v>
      </c>
      <c r="G554" t="s">
        <v>74</v>
      </c>
      <c r="H554" t="s">
        <v>74</v>
      </c>
      <c r="I554" t="s">
        <v>6572</v>
      </c>
      <c r="J554" t="s">
        <v>6573</v>
      </c>
      <c r="K554" t="s">
        <v>74</v>
      </c>
      <c r="L554" t="s">
        <v>74</v>
      </c>
      <c r="M554" t="s">
        <v>78</v>
      </c>
      <c r="N554" t="s">
        <v>2737</v>
      </c>
      <c r="O554" t="s">
        <v>74</v>
      </c>
      <c r="P554" t="s">
        <v>74</v>
      </c>
      <c r="Q554" t="s">
        <v>74</v>
      </c>
      <c r="R554" t="s">
        <v>74</v>
      </c>
      <c r="S554" t="s">
        <v>74</v>
      </c>
      <c r="T554" t="s">
        <v>6574</v>
      </c>
      <c r="U554" t="s">
        <v>6575</v>
      </c>
      <c r="V554" t="s">
        <v>6576</v>
      </c>
      <c r="W554" t="s">
        <v>6577</v>
      </c>
      <c r="X554" t="s">
        <v>4902</v>
      </c>
      <c r="Y554" t="s">
        <v>6578</v>
      </c>
      <c r="Z554" t="s">
        <v>6579</v>
      </c>
      <c r="AA554" t="s">
        <v>6580</v>
      </c>
      <c r="AB554" t="s">
        <v>6581</v>
      </c>
      <c r="AC554" t="s">
        <v>74</v>
      </c>
      <c r="AD554" t="s">
        <v>74</v>
      </c>
      <c r="AE554" t="s">
        <v>74</v>
      </c>
      <c r="AF554" t="s">
        <v>74</v>
      </c>
      <c r="AG554">
        <v>22</v>
      </c>
      <c r="AH554">
        <v>17</v>
      </c>
      <c r="AI554">
        <v>18</v>
      </c>
      <c r="AJ554">
        <v>2</v>
      </c>
      <c r="AK554">
        <v>19</v>
      </c>
      <c r="AL554" t="s">
        <v>6380</v>
      </c>
      <c r="AM554" t="s">
        <v>5393</v>
      </c>
      <c r="AN554" t="s">
        <v>6381</v>
      </c>
      <c r="AO554" t="s">
        <v>6582</v>
      </c>
      <c r="AP554" t="s">
        <v>6583</v>
      </c>
      <c r="AQ554" t="s">
        <v>74</v>
      </c>
      <c r="AR554" t="s">
        <v>6584</v>
      </c>
      <c r="AS554" t="s">
        <v>6585</v>
      </c>
      <c r="AT554" t="s">
        <v>5893</v>
      </c>
      <c r="AU554">
        <v>2008</v>
      </c>
      <c r="AV554">
        <v>26</v>
      </c>
      <c r="AW554">
        <v>2</v>
      </c>
      <c r="AX554" t="s">
        <v>74</v>
      </c>
      <c r="AY554" t="s">
        <v>74</v>
      </c>
      <c r="AZ554" t="s">
        <v>74</v>
      </c>
      <c r="BA554" t="s">
        <v>74</v>
      </c>
      <c r="BB554">
        <v>295</v>
      </c>
      <c r="BC554">
        <v>297</v>
      </c>
      <c r="BD554" t="s">
        <v>74</v>
      </c>
      <c r="BE554" t="s">
        <v>6586</v>
      </c>
      <c r="BF554" t="str">
        <f>HYPERLINK("http://dx.doi.org/10.1007/s10164-007-0073-9","http://dx.doi.org/10.1007/s10164-007-0073-9")</f>
        <v>http://dx.doi.org/10.1007/s10164-007-0073-9</v>
      </c>
      <c r="BG554" t="s">
        <v>74</v>
      </c>
      <c r="BH554" t="s">
        <v>74</v>
      </c>
      <c r="BI554">
        <v>3</v>
      </c>
      <c r="BJ554" t="s">
        <v>6587</v>
      </c>
      <c r="BK554" t="s">
        <v>419</v>
      </c>
      <c r="BL554" t="s">
        <v>6587</v>
      </c>
      <c r="BM554" t="s">
        <v>6588</v>
      </c>
      <c r="BN554" t="s">
        <v>74</v>
      </c>
      <c r="BO554" t="s">
        <v>3110</v>
      </c>
      <c r="BP554" t="s">
        <v>74</v>
      </c>
      <c r="BQ554" t="s">
        <v>74</v>
      </c>
      <c r="BR554" t="s">
        <v>101</v>
      </c>
      <c r="BS554" t="s">
        <v>6589</v>
      </c>
      <c r="BT554" t="str">
        <f>HYPERLINK("https%3A%2F%2Fwww.webofscience.com%2Fwos%2Fwoscc%2Ffull-record%2FWOS:000255114500014","View Full Record in Web of Science")</f>
        <v>View Full Record in Web of Science</v>
      </c>
    </row>
    <row r="555" spans="1:72" x14ac:dyDescent="0.15">
      <c r="A555" t="s">
        <v>72</v>
      </c>
      <c r="B555" t="s">
        <v>6590</v>
      </c>
      <c r="C555" t="s">
        <v>74</v>
      </c>
      <c r="D555" t="s">
        <v>74</v>
      </c>
      <c r="E555" t="s">
        <v>74</v>
      </c>
      <c r="F555" t="s">
        <v>6591</v>
      </c>
      <c r="G555" t="s">
        <v>74</v>
      </c>
      <c r="H555" t="s">
        <v>74</v>
      </c>
      <c r="I555" t="s">
        <v>6592</v>
      </c>
      <c r="J555" t="s">
        <v>6593</v>
      </c>
      <c r="K555" t="s">
        <v>74</v>
      </c>
      <c r="L555" t="s">
        <v>74</v>
      </c>
      <c r="M555" t="s">
        <v>78</v>
      </c>
      <c r="N555" t="s">
        <v>2737</v>
      </c>
      <c r="O555" t="s">
        <v>74</v>
      </c>
      <c r="P555" t="s">
        <v>74</v>
      </c>
      <c r="Q555" t="s">
        <v>74</v>
      </c>
      <c r="R555" t="s">
        <v>74</v>
      </c>
      <c r="S555" t="s">
        <v>74</v>
      </c>
      <c r="T555" t="s">
        <v>6594</v>
      </c>
      <c r="U555" t="s">
        <v>6595</v>
      </c>
      <c r="V555" t="s">
        <v>6596</v>
      </c>
      <c r="W555" t="s">
        <v>6597</v>
      </c>
      <c r="X555" t="s">
        <v>6598</v>
      </c>
      <c r="Y555" t="s">
        <v>6599</v>
      </c>
      <c r="Z555" t="s">
        <v>6600</v>
      </c>
      <c r="AA555" t="s">
        <v>6601</v>
      </c>
      <c r="AB555" t="s">
        <v>6602</v>
      </c>
      <c r="AC555" t="s">
        <v>74</v>
      </c>
      <c r="AD555" t="s">
        <v>74</v>
      </c>
      <c r="AE555" t="s">
        <v>74</v>
      </c>
      <c r="AF555" t="s">
        <v>74</v>
      </c>
      <c r="AG555">
        <v>42</v>
      </c>
      <c r="AH555">
        <v>10</v>
      </c>
      <c r="AI555">
        <v>14</v>
      </c>
      <c r="AJ555">
        <v>1</v>
      </c>
      <c r="AK555">
        <v>15</v>
      </c>
      <c r="AL555" t="s">
        <v>3257</v>
      </c>
      <c r="AM555" t="s">
        <v>3258</v>
      </c>
      <c r="AN555" t="s">
        <v>3259</v>
      </c>
      <c r="AO555" t="s">
        <v>6603</v>
      </c>
      <c r="AP555" t="s">
        <v>74</v>
      </c>
      <c r="AQ555" t="s">
        <v>74</v>
      </c>
      <c r="AR555" t="s">
        <v>6604</v>
      </c>
      <c r="AS555" t="s">
        <v>6605</v>
      </c>
      <c r="AT555" t="s">
        <v>5893</v>
      </c>
      <c r="AU555">
        <v>2008</v>
      </c>
      <c r="AV555">
        <v>71</v>
      </c>
      <c r="AW555" t="s">
        <v>5676</v>
      </c>
      <c r="AX555" t="s">
        <v>74</v>
      </c>
      <c r="AY555" t="s">
        <v>74</v>
      </c>
      <c r="AZ555" t="s">
        <v>74</v>
      </c>
      <c r="BA555" t="s">
        <v>74</v>
      </c>
      <c r="BB555">
        <v>112</v>
      </c>
      <c r="BC555">
        <v>130</v>
      </c>
      <c r="BD555" t="s">
        <v>74</v>
      </c>
      <c r="BE555" t="s">
        <v>6606</v>
      </c>
      <c r="BF555" t="str">
        <f>HYPERLINK("http://dx.doi.org/10.1016/j.jmarsys.2007.07.002","http://dx.doi.org/10.1016/j.jmarsys.2007.07.002")</f>
        <v>http://dx.doi.org/10.1016/j.jmarsys.2007.07.002</v>
      </c>
      <c r="BG555" t="s">
        <v>74</v>
      </c>
      <c r="BH555" t="s">
        <v>74</v>
      </c>
      <c r="BI555">
        <v>19</v>
      </c>
      <c r="BJ555" t="s">
        <v>6607</v>
      </c>
      <c r="BK555" t="s">
        <v>419</v>
      </c>
      <c r="BL555" t="s">
        <v>6608</v>
      </c>
      <c r="BM555" t="s">
        <v>6609</v>
      </c>
      <c r="BN555" t="s">
        <v>74</v>
      </c>
      <c r="BO555" t="s">
        <v>6610</v>
      </c>
      <c r="BP555" t="s">
        <v>74</v>
      </c>
      <c r="BQ555" t="s">
        <v>74</v>
      </c>
      <c r="BR555" t="s">
        <v>101</v>
      </c>
      <c r="BS555" t="s">
        <v>6611</v>
      </c>
      <c r="BT555" t="str">
        <f>HYPERLINK("https%3A%2F%2Fwww.webofscience.com%2Fwos%2Fwoscc%2Ffull-record%2FWOS:000255138700008","View Full Record in Web of Science")</f>
        <v>View Full Record in Web of Science</v>
      </c>
    </row>
    <row r="556" spans="1:72" x14ac:dyDescent="0.15">
      <c r="A556" t="s">
        <v>72</v>
      </c>
      <c r="B556" t="s">
        <v>6612</v>
      </c>
      <c r="C556" t="s">
        <v>74</v>
      </c>
      <c r="D556" t="s">
        <v>74</v>
      </c>
      <c r="E556" t="s">
        <v>74</v>
      </c>
      <c r="F556" t="s">
        <v>6613</v>
      </c>
      <c r="G556" t="s">
        <v>74</v>
      </c>
      <c r="H556" t="s">
        <v>74</v>
      </c>
      <c r="I556" t="s">
        <v>6614</v>
      </c>
      <c r="J556" t="s">
        <v>6615</v>
      </c>
      <c r="K556" t="s">
        <v>74</v>
      </c>
      <c r="L556" t="s">
        <v>74</v>
      </c>
      <c r="M556" t="s">
        <v>78</v>
      </c>
      <c r="N556" t="s">
        <v>2737</v>
      </c>
      <c r="O556" t="s">
        <v>74</v>
      </c>
      <c r="P556" t="s">
        <v>74</v>
      </c>
      <c r="Q556" t="s">
        <v>74</v>
      </c>
      <c r="R556" t="s">
        <v>74</v>
      </c>
      <c r="S556" t="s">
        <v>74</v>
      </c>
      <c r="T556" t="s">
        <v>6616</v>
      </c>
      <c r="U556" t="s">
        <v>6617</v>
      </c>
      <c r="V556" t="s">
        <v>6618</v>
      </c>
      <c r="W556" t="s">
        <v>6619</v>
      </c>
      <c r="X556" t="s">
        <v>6620</v>
      </c>
      <c r="Y556" t="s">
        <v>6621</v>
      </c>
      <c r="Z556" t="s">
        <v>6622</v>
      </c>
      <c r="AA556" t="s">
        <v>74</v>
      </c>
      <c r="AB556" t="s">
        <v>74</v>
      </c>
      <c r="AC556" t="s">
        <v>74</v>
      </c>
      <c r="AD556" t="s">
        <v>74</v>
      </c>
      <c r="AE556" t="s">
        <v>74</v>
      </c>
      <c r="AF556" t="s">
        <v>74</v>
      </c>
      <c r="AG556">
        <v>67</v>
      </c>
      <c r="AH556">
        <v>29</v>
      </c>
      <c r="AI556">
        <v>31</v>
      </c>
      <c r="AJ556">
        <v>0</v>
      </c>
      <c r="AK556">
        <v>4</v>
      </c>
      <c r="AL556" t="s">
        <v>3148</v>
      </c>
      <c r="AM556" t="s">
        <v>3149</v>
      </c>
      <c r="AN556" t="s">
        <v>3150</v>
      </c>
      <c r="AO556" t="s">
        <v>6623</v>
      </c>
      <c r="AP556" t="s">
        <v>6624</v>
      </c>
      <c r="AQ556" t="s">
        <v>74</v>
      </c>
      <c r="AR556" t="s">
        <v>6625</v>
      </c>
      <c r="AS556" t="s">
        <v>6626</v>
      </c>
      <c r="AT556" t="s">
        <v>5893</v>
      </c>
      <c r="AU556">
        <v>2008</v>
      </c>
      <c r="AV556">
        <v>27</v>
      </c>
      <c r="AW556" t="s">
        <v>74</v>
      </c>
      <c r="AX556">
        <v>1</v>
      </c>
      <c r="AY556" t="s">
        <v>74</v>
      </c>
      <c r="AZ556" t="s">
        <v>74</v>
      </c>
      <c r="BA556" t="s">
        <v>74</v>
      </c>
      <c r="BB556">
        <v>75</v>
      </c>
      <c r="BC556">
        <v>94</v>
      </c>
      <c r="BD556" t="s">
        <v>74</v>
      </c>
      <c r="BE556" t="s">
        <v>6627</v>
      </c>
      <c r="BF556" t="str">
        <f>HYPERLINK("http://dx.doi.org/10.1144/jm.27.1.75","http://dx.doi.org/10.1144/jm.27.1.75")</f>
        <v>http://dx.doi.org/10.1144/jm.27.1.75</v>
      </c>
      <c r="BG556" t="s">
        <v>74</v>
      </c>
      <c r="BH556" t="s">
        <v>74</v>
      </c>
      <c r="BI556">
        <v>20</v>
      </c>
      <c r="BJ556" t="s">
        <v>3226</v>
      </c>
      <c r="BK556" t="s">
        <v>419</v>
      </c>
      <c r="BL556" t="s">
        <v>3226</v>
      </c>
      <c r="BM556" t="s">
        <v>6628</v>
      </c>
      <c r="BN556" t="s">
        <v>74</v>
      </c>
      <c r="BO556" t="s">
        <v>4667</v>
      </c>
      <c r="BP556" t="s">
        <v>74</v>
      </c>
      <c r="BQ556" t="s">
        <v>74</v>
      </c>
      <c r="BR556" t="s">
        <v>101</v>
      </c>
      <c r="BS556" t="s">
        <v>6629</v>
      </c>
      <c r="BT556" t="str">
        <f>HYPERLINK("https%3A%2F%2Fwww.webofscience.com%2Fwos%2Fwoscc%2Ffull-record%2FWOS:000256739200006","View Full Record in Web of Science")</f>
        <v>View Full Record in Web of Science</v>
      </c>
    </row>
    <row r="557" spans="1:72" x14ac:dyDescent="0.15">
      <c r="A557" t="s">
        <v>72</v>
      </c>
      <c r="B557" t="s">
        <v>6630</v>
      </c>
      <c r="C557" t="s">
        <v>74</v>
      </c>
      <c r="D557" t="s">
        <v>74</v>
      </c>
      <c r="E557" t="s">
        <v>74</v>
      </c>
      <c r="F557" t="s">
        <v>6631</v>
      </c>
      <c r="G557" t="s">
        <v>74</v>
      </c>
      <c r="H557" t="s">
        <v>74</v>
      </c>
      <c r="I557" t="s">
        <v>6632</v>
      </c>
      <c r="J557" t="s">
        <v>4984</v>
      </c>
      <c r="K557" t="s">
        <v>74</v>
      </c>
      <c r="L557" t="s">
        <v>74</v>
      </c>
      <c r="M557" t="s">
        <v>78</v>
      </c>
      <c r="N557" t="s">
        <v>2737</v>
      </c>
      <c r="O557" t="s">
        <v>74</v>
      </c>
      <c r="P557" t="s">
        <v>74</v>
      </c>
      <c r="Q557" t="s">
        <v>74</v>
      </c>
      <c r="R557" t="s">
        <v>74</v>
      </c>
      <c r="S557" t="s">
        <v>74</v>
      </c>
      <c r="T557" t="s">
        <v>74</v>
      </c>
      <c r="U557" t="s">
        <v>6633</v>
      </c>
      <c r="V557" t="s">
        <v>6634</v>
      </c>
      <c r="W557" t="s">
        <v>6635</v>
      </c>
      <c r="X557" t="s">
        <v>5296</v>
      </c>
      <c r="Y557" t="s">
        <v>6636</v>
      </c>
      <c r="Z557" t="s">
        <v>6637</v>
      </c>
      <c r="AA557" t="s">
        <v>74</v>
      </c>
      <c r="AB557" t="s">
        <v>6638</v>
      </c>
      <c r="AC557" t="s">
        <v>74</v>
      </c>
      <c r="AD557" t="s">
        <v>74</v>
      </c>
      <c r="AE557" t="s">
        <v>74</v>
      </c>
      <c r="AF557" t="s">
        <v>74</v>
      </c>
      <c r="AG557">
        <v>31</v>
      </c>
      <c r="AH557">
        <v>17</v>
      </c>
      <c r="AI557">
        <v>21</v>
      </c>
      <c r="AJ557">
        <v>0</v>
      </c>
      <c r="AK557">
        <v>6</v>
      </c>
      <c r="AL557" t="s">
        <v>3716</v>
      </c>
      <c r="AM557" t="s">
        <v>3717</v>
      </c>
      <c r="AN557" t="s">
        <v>3738</v>
      </c>
      <c r="AO557" t="s">
        <v>4991</v>
      </c>
      <c r="AP557" t="s">
        <v>4992</v>
      </c>
      <c r="AQ557" t="s">
        <v>74</v>
      </c>
      <c r="AR557" t="s">
        <v>4993</v>
      </c>
      <c r="AS557" t="s">
        <v>4994</v>
      </c>
      <c r="AT557" t="s">
        <v>5893</v>
      </c>
      <c r="AU557">
        <v>2008</v>
      </c>
      <c r="AV557">
        <v>38</v>
      </c>
      <c r="AW557">
        <v>5</v>
      </c>
      <c r="AX557" t="s">
        <v>74</v>
      </c>
      <c r="AY557" t="s">
        <v>74</v>
      </c>
      <c r="AZ557" t="s">
        <v>74</v>
      </c>
      <c r="BA557" t="s">
        <v>74</v>
      </c>
      <c r="BB557">
        <v>1000</v>
      </c>
      <c r="BC557">
        <v>1010</v>
      </c>
      <c r="BD557" t="s">
        <v>74</v>
      </c>
      <c r="BE557" t="s">
        <v>6639</v>
      </c>
      <c r="BF557" t="str">
        <f>HYPERLINK("http://dx.doi.org/10.1175/2007JPO3834.1","http://dx.doi.org/10.1175/2007JPO3834.1")</f>
        <v>http://dx.doi.org/10.1175/2007JPO3834.1</v>
      </c>
      <c r="BG557" t="s">
        <v>74</v>
      </c>
      <c r="BH557" t="s">
        <v>74</v>
      </c>
      <c r="BI557">
        <v>11</v>
      </c>
      <c r="BJ557" t="s">
        <v>3447</v>
      </c>
      <c r="BK557" t="s">
        <v>419</v>
      </c>
      <c r="BL557" t="s">
        <v>3447</v>
      </c>
      <c r="BM557" t="s">
        <v>6640</v>
      </c>
      <c r="BN557" t="s">
        <v>74</v>
      </c>
      <c r="BO557" t="s">
        <v>4667</v>
      </c>
      <c r="BP557" t="s">
        <v>74</v>
      </c>
      <c r="BQ557" t="s">
        <v>74</v>
      </c>
      <c r="BR557" t="s">
        <v>101</v>
      </c>
      <c r="BS557" t="s">
        <v>6641</v>
      </c>
      <c r="BT557" t="str">
        <f>HYPERLINK("https%3A%2F%2Fwww.webofscience.com%2Fwos%2Fwoscc%2Ffull-record%2FWOS:000255954700005","View Full Record in Web of Science")</f>
        <v>View Full Record in Web of Science</v>
      </c>
    </row>
    <row r="558" spans="1:72" x14ac:dyDescent="0.15">
      <c r="A558" t="s">
        <v>72</v>
      </c>
      <c r="B558" t="s">
        <v>6642</v>
      </c>
      <c r="C558" t="s">
        <v>74</v>
      </c>
      <c r="D558" t="s">
        <v>74</v>
      </c>
      <c r="E558" t="s">
        <v>74</v>
      </c>
      <c r="F558" t="s">
        <v>6643</v>
      </c>
      <c r="G558" t="s">
        <v>74</v>
      </c>
      <c r="H558" t="s">
        <v>74</v>
      </c>
      <c r="I558" t="s">
        <v>6644</v>
      </c>
      <c r="J558" t="s">
        <v>4984</v>
      </c>
      <c r="K558" t="s">
        <v>74</v>
      </c>
      <c r="L558" t="s">
        <v>74</v>
      </c>
      <c r="M558" t="s">
        <v>78</v>
      </c>
      <c r="N558" t="s">
        <v>2737</v>
      </c>
      <c r="O558" t="s">
        <v>74</v>
      </c>
      <c r="P558" t="s">
        <v>74</v>
      </c>
      <c r="Q558" t="s">
        <v>74</v>
      </c>
      <c r="R558" t="s">
        <v>74</v>
      </c>
      <c r="S558" t="s">
        <v>74</v>
      </c>
      <c r="T558" t="s">
        <v>74</v>
      </c>
      <c r="U558" t="s">
        <v>6645</v>
      </c>
      <c r="V558" t="s">
        <v>6646</v>
      </c>
      <c r="W558" t="s">
        <v>6647</v>
      </c>
      <c r="X558" t="s">
        <v>6648</v>
      </c>
      <c r="Y558" t="s">
        <v>6649</v>
      </c>
      <c r="Z558" t="s">
        <v>6650</v>
      </c>
      <c r="AA558" t="s">
        <v>6651</v>
      </c>
      <c r="AB558" t="s">
        <v>6652</v>
      </c>
      <c r="AC558" t="s">
        <v>4867</v>
      </c>
      <c r="AD558" t="s">
        <v>2792</v>
      </c>
      <c r="AE558" t="s">
        <v>74</v>
      </c>
      <c r="AF558" t="s">
        <v>74</v>
      </c>
      <c r="AG558">
        <v>54</v>
      </c>
      <c r="AH558">
        <v>9</v>
      </c>
      <c r="AI558">
        <v>9</v>
      </c>
      <c r="AJ558">
        <v>0</v>
      </c>
      <c r="AK558">
        <v>6</v>
      </c>
      <c r="AL558" t="s">
        <v>3716</v>
      </c>
      <c r="AM558" t="s">
        <v>3717</v>
      </c>
      <c r="AN558" t="s">
        <v>3738</v>
      </c>
      <c r="AO558" t="s">
        <v>4991</v>
      </c>
      <c r="AP558" t="s">
        <v>4992</v>
      </c>
      <c r="AQ558" t="s">
        <v>74</v>
      </c>
      <c r="AR558" t="s">
        <v>4993</v>
      </c>
      <c r="AS558" t="s">
        <v>4994</v>
      </c>
      <c r="AT558" t="s">
        <v>5893</v>
      </c>
      <c r="AU558">
        <v>2008</v>
      </c>
      <c r="AV558">
        <v>38</v>
      </c>
      <c r="AW558">
        <v>5</v>
      </c>
      <c r="AX558" t="s">
        <v>74</v>
      </c>
      <c r="AY558" t="s">
        <v>74</v>
      </c>
      <c r="AZ558" t="s">
        <v>74</v>
      </c>
      <c r="BA558" t="s">
        <v>74</v>
      </c>
      <c r="BB558">
        <v>1011</v>
      </c>
      <c r="BC558">
        <v>1032</v>
      </c>
      <c r="BD558" t="s">
        <v>74</v>
      </c>
      <c r="BE558" t="s">
        <v>6653</v>
      </c>
      <c r="BF558" t="str">
        <f>HYPERLINK("http://dx.doi.org/10.1175/2007JPO3831.1","http://dx.doi.org/10.1175/2007JPO3831.1")</f>
        <v>http://dx.doi.org/10.1175/2007JPO3831.1</v>
      </c>
      <c r="BG558" t="s">
        <v>74</v>
      </c>
      <c r="BH558" t="s">
        <v>74</v>
      </c>
      <c r="BI558">
        <v>22</v>
      </c>
      <c r="BJ558" t="s">
        <v>3447</v>
      </c>
      <c r="BK558" t="s">
        <v>419</v>
      </c>
      <c r="BL558" t="s">
        <v>3447</v>
      </c>
      <c r="BM558" t="s">
        <v>6640</v>
      </c>
      <c r="BN558" t="s">
        <v>74</v>
      </c>
      <c r="BO558" t="s">
        <v>4870</v>
      </c>
      <c r="BP558" t="s">
        <v>74</v>
      </c>
      <c r="BQ558" t="s">
        <v>74</v>
      </c>
      <c r="BR558" t="s">
        <v>101</v>
      </c>
      <c r="BS558" t="s">
        <v>6654</v>
      </c>
      <c r="BT558" t="str">
        <f>HYPERLINK("https%3A%2F%2Fwww.webofscience.com%2Fwos%2Fwoscc%2Ffull-record%2FWOS:000255954700006","View Full Record in Web of Science")</f>
        <v>View Full Record in Web of Science</v>
      </c>
    </row>
    <row r="559" spans="1:72" x14ac:dyDescent="0.15">
      <c r="A559" t="s">
        <v>72</v>
      </c>
      <c r="B559" t="s">
        <v>6655</v>
      </c>
      <c r="C559" t="s">
        <v>74</v>
      </c>
      <c r="D559" t="s">
        <v>74</v>
      </c>
      <c r="E559" t="s">
        <v>74</v>
      </c>
      <c r="F559" t="s">
        <v>6656</v>
      </c>
      <c r="G559" t="s">
        <v>74</v>
      </c>
      <c r="H559" t="s">
        <v>74</v>
      </c>
      <c r="I559" t="s">
        <v>6657</v>
      </c>
      <c r="J559" t="s">
        <v>4984</v>
      </c>
      <c r="K559" t="s">
        <v>74</v>
      </c>
      <c r="L559" t="s">
        <v>74</v>
      </c>
      <c r="M559" t="s">
        <v>78</v>
      </c>
      <c r="N559" t="s">
        <v>2737</v>
      </c>
      <c r="O559" t="s">
        <v>74</v>
      </c>
      <c r="P559" t="s">
        <v>74</v>
      </c>
      <c r="Q559" t="s">
        <v>74</v>
      </c>
      <c r="R559" t="s">
        <v>74</v>
      </c>
      <c r="S559" t="s">
        <v>74</v>
      </c>
      <c r="T559" t="s">
        <v>74</v>
      </c>
      <c r="U559" t="s">
        <v>6658</v>
      </c>
      <c r="V559" t="s">
        <v>6659</v>
      </c>
      <c r="W559" t="s">
        <v>6660</v>
      </c>
      <c r="X559" t="s">
        <v>6661</v>
      </c>
      <c r="Y559" t="s">
        <v>6662</v>
      </c>
      <c r="Z559" t="s">
        <v>6663</v>
      </c>
      <c r="AA559" t="s">
        <v>74</v>
      </c>
      <c r="AB559" t="s">
        <v>74</v>
      </c>
      <c r="AC559" t="s">
        <v>74</v>
      </c>
      <c r="AD559" t="s">
        <v>74</v>
      </c>
      <c r="AE559" t="s">
        <v>74</v>
      </c>
      <c r="AF559" t="s">
        <v>74</v>
      </c>
      <c r="AG559">
        <v>44</v>
      </c>
      <c r="AH559">
        <v>24</v>
      </c>
      <c r="AI559">
        <v>26</v>
      </c>
      <c r="AJ559">
        <v>0</v>
      </c>
      <c r="AK559">
        <v>6</v>
      </c>
      <c r="AL559" t="s">
        <v>3716</v>
      </c>
      <c r="AM559" t="s">
        <v>3717</v>
      </c>
      <c r="AN559" t="s">
        <v>3738</v>
      </c>
      <c r="AO559" t="s">
        <v>4991</v>
      </c>
      <c r="AP559" t="s">
        <v>74</v>
      </c>
      <c r="AQ559" t="s">
        <v>74</v>
      </c>
      <c r="AR559" t="s">
        <v>4993</v>
      </c>
      <c r="AS559" t="s">
        <v>4994</v>
      </c>
      <c r="AT559" t="s">
        <v>5893</v>
      </c>
      <c r="AU559">
        <v>2008</v>
      </c>
      <c r="AV559">
        <v>38</v>
      </c>
      <c r="AW559">
        <v>5</v>
      </c>
      <c r="AX559" t="s">
        <v>74</v>
      </c>
      <c r="AY559" t="s">
        <v>74</v>
      </c>
      <c r="AZ559" t="s">
        <v>74</v>
      </c>
      <c r="BA559" t="s">
        <v>74</v>
      </c>
      <c r="BB559">
        <v>1091</v>
      </c>
      <c r="BC559">
        <v>1106</v>
      </c>
      <c r="BD559" t="s">
        <v>74</v>
      </c>
      <c r="BE559" t="s">
        <v>6664</v>
      </c>
      <c r="BF559" t="str">
        <f>HYPERLINK("http://dx.doi.org/10.1175/2007JPO3805.1","http://dx.doi.org/10.1175/2007JPO3805.1")</f>
        <v>http://dx.doi.org/10.1175/2007JPO3805.1</v>
      </c>
      <c r="BG559" t="s">
        <v>74</v>
      </c>
      <c r="BH559" t="s">
        <v>74</v>
      </c>
      <c r="BI559">
        <v>16</v>
      </c>
      <c r="BJ559" t="s">
        <v>3447</v>
      </c>
      <c r="BK559" t="s">
        <v>419</v>
      </c>
      <c r="BL559" t="s">
        <v>3447</v>
      </c>
      <c r="BM559" t="s">
        <v>6640</v>
      </c>
      <c r="BN559" t="s">
        <v>74</v>
      </c>
      <c r="BO559" t="s">
        <v>3359</v>
      </c>
      <c r="BP559" t="s">
        <v>74</v>
      </c>
      <c r="BQ559" t="s">
        <v>74</v>
      </c>
      <c r="BR559" t="s">
        <v>101</v>
      </c>
      <c r="BS559" t="s">
        <v>6665</v>
      </c>
      <c r="BT559" t="str">
        <f>HYPERLINK("https%3A%2F%2Fwww.webofscience.com%2Fwos%2Fwoscc%2Ffull-record%2FWOS:000255954700010","View Full Record in Web of Science")</f>
        <v>View Full Record in Web of Science</v>
      </c>
    </row>
    <row r="560" spans="1:72" x14ac:dyDescent="0.15">
      <c r="A560" t="s">
        <v>72</v>
      </c>
      <c r="B560" t="s">
        <v>6666</v>
      </c>
      <c r="C560" t="s">
        <v>74</v>
      </c>
      <c r="D560" t="s">
        <v>74</v>
      </c>
      <c r="E560" t="s">
        <v>74</v>
      </c>
      <c r="F560" t="s">
        <v>6667</v>
      </c>
      <c r="G560" t="s">
        <v>74</v>
      </c>
      <c r="H560" t="s">
        <v>74</v>
      </c>
      <c r="I560" t="s">
        <v>6668</v>
      </c>
      <c r="J560" t="s">
        <v>6669</v>
      </c>
      <c r="K560" t="s">
        <v>74</v>
      </c>
      <c r="L560" t="s">
        <v>74</v>
      </c>
      <c r="M560" t="s">
        <v>78</v>
      </c>
      <c r="N560" t="s">
        <v>2737</v>
      </c>
      <c r="O560" t="s">
        <v>74</v>
      </c>
      <c r="P560" t="s">
        <v>74</v>
      </c>
      <c r="Q560" t="s">
        <v>74</v>
      </c>
      <c r="R560" t="s">
        <v>74</v>
      </c>
      <c r="S560" t="s">
        <v>74</v>
      </c>
      <c r="T560" t="s">
        <v>6670</v>
      </c>
      <c r="U560" t="s">
        <v>6671</v>
      </c>
      <c r="V560" t="s">
        <v>6672</v>
      </c>
      <c r="W560" t="s">
        <v>6673</v>
      </c>
      <c r="X560" t="s">
        <v>2786</v>
      </c>
      <c r="Y560" t="s">
        <v>6674</v>
      </c>
      <c r="Z560" t="s">
        <v>6675</v>
      </c>
      <c r="AA560" t="s">
        <v>74</v>
      </c>
      <c r="AB560" t="s">
        <v>74</v>
      </c>
      <c r="AC560" t="s">
        <v>4437</v>
      </c>
      <c r="AD560" t="s">
        <v>3031</v>
      </c>
      <c r="AE560" t="s">
        <v>74</v>
      </c>
      <c r="AF560" t="s">
        <v>74</v>
      </c>
      <c r="AG560">
        <v>33</v>
      </c>
      <c r="AH560">
        <v>21</v>
      </c>
      <c r="AI560">
        <v>25</v>
      </c>
      <c r="AJ560">
        <v>0</v>
      </c>
      <c r="AK560">
        <v>6</v>
      </c>
      <c r="AL560" t="s">
        <v>6676</v>
      </c>
      <c r="AM560" t="s">
        <v>3008</v>
      </c>
      <c r="AN560" t="s">
        <v>6677</v>
      </c>
      <c r="AO560" t="s">
        <v>6678</v>
      </c>
      <c r="AP560" t="s">
        <v>74</v>
      </c>
      <c r="AQ560" t="s">
        <v>74</v>
      </c>
      <c r="AR560" t="s">
        <v>6679</v>
      </c>
      <c r="AS560" t="s">
        <v>6680</v>
      </c>
      <c r="AT560" t="s">
        <v>5893</v>
      </c>
      <c r="AU560">
        <v>2008</v>
      </c>
      <c r="AV560">
        <v>156</v>
      </c>
      <c r="AW560">
        <v>5</v>
      </c>
      <c r="AX560" t="s">
        <v>74</v>
      </c>
      <c r="AY560" t="s">
        <v>74</v>
      </c>
      <c r="AZ560" t="s">
        <v>74</v>
      </c>
      <c r="BA560" t="s">
        <v>74</v>
      </c>
      <c r="BB560">
        <v>274</v>
      </c>
      <c r="BC560">
        <v>280</v>
      </c>
      <c r="BD560" t="s">
        <v>74</v>
      </c>
      <c r="BE560" t="s">
        <v>6681</v>
      </c>
      <c r="BF560" t="str">
        <f>HYPERLINK("http://dx.doi.org/10.1111/j.1439-0434.2007.01354.x","http://dx.doi.org/10.1111/j.1439-0434.2007.01354.x")</f>
        <v>http://dx.doi.org/10.1111/j.1439-0434.2007.01354.x</v>
      </c>
      <c r="BG560" t="s">
        <v>74</v>
      </c>
      <c r="BH560" t="s">
        <v>74</v>
      </c>
      <c r="BI560">
        <v>7</v>
      </c>
      <c r="BJ560" t="s">
        <v>2857</v>
      </c>
      <c r="BK560" t="s">
        <v>419</v>
      </c>
      <c r="BL560" t="s">
        <v>2857</v>
      </c>
      <c r="BM560" t="s">
        <v>6682</v>
      </c>
      <c r="BN560" t="s">
        <v>74</v>
      </c>
      <c r="BO560" t="s">
        <v>74</v>
      </c>
      <c r="BP560" t="s">
        <v>74</v>
      </c>
      <c r="BQ560" t="s">
        <v>74</v>
      </c>
      <c r="BR560" t="s">
        <v>101</v>
      </c>
      <c r="BS560" t="s">
        <v>6683</v>
      </c>
      <c r="BT560" t="str">
        <f>HYPERLINK("https%3A%2F%2Fwww.webofscience.com%2Fwos%2Fwoscc%2Ffull-record%2FWOS:000254809800004","View Full Record in Web of Science")</f>
        <v>View Full Record in Web of Science</v>
      </c>
    </row>
    <row r="561" spans="1:72" x14ac:dyDescent="0.15">
      <c r="A561" t="s">
        <v>72</v>
      </c>
      <c r="B561" t="s">
        <v>6684</v>
      </c>
      <c r="C561" t="s">
        <v>74</v>
      </c>
      <c r="D561" t="s">
        <v>74</v>
      </c>
      <c r="E561" t="s">
        <v>74</v>
      </c>
      <c r="F561" t="s">
        <v>6685</v>
      </c>
      <c r="G561" t="s">
        <v>74</v>
      </c>
      <c r="H561" t="s">
        <v>74</v>
      </c>
      <c r="I561" t="s">
        <v>6686</v>
      </c>
      <c r="J561" t="s">
        <v>6687</v>
      </c>
      <c r="K561" t="s">
        <v>74</v>
      </c>
      <c r="L561" t="s">
        <v>74</v>
      </c>
      <c r="M561" t="s">
        <v>78</v>
      </c>
      <c r="N561" t="s">
        <v>2737</v>
      </c>
      <c r="O561" t="s">
        <v>74</v>
      </c>
      <c r="P561" t="s">
        <v>74</v>
      </c>
      <c r="Q561" t="s">
        <v>74</v>
      </c>
      <c r="R561" t="s">
        <v>74</v>
      </c>
      <c r="S561" t="s">
        <v>74</v>
      </c>
      <c r="T561" t="s">
        <v>74</v>
      </c>
      <c r="U561" t="s">
        <v>6688</v>
      </c>
      <c r="V561" t="s">
        <v>6689</v>
      </c>
      <c r="W561" t="s">
        <v>6690</v>
      </c>
      <c r="X561" t="s">
        <v>6691</v>
      </c>
      <c r="Y561" t="s">
        <v>6692</v>
      </c>
      <c r="Z561" t="s">
        <v>6693</v>
      </c>
      <c r="AA561" t="s">
        <v>6694</v>
      </c>
      <c r="AB561" t="s">
        <v>6695</v>
      </c>
      <c r="AC561" t="s">
        <v>3667</v>
      </c>
      <c r="AD561" t="s">
        <v>2792</v>
      </c>
      <c r="AE561" t="s">
        <v>74</v>
      </c>
      <c r="AF561" t="s">
        <v>74</v>
      </c>
      <c r="AG561">
        <v>61</v>
      </c>
      <c r="AH561">
        <v>47</v>
      </c>
      <c r="AI561">
        <v>47</v>
      </c>
      <c r="AJ561">
        <v>1</v>
      </c>
      <c r="AK561">
        <v>14</v>
      </c>
      <c r="AL561" t="s">
        <v>6696</v>
      </c>
      <c r="AM561" t="s">
        <v>6697</v>
      </c>
      <c r="AN561" t="s">
        <v>6698</v>
      </c>
      <c r="AO561" t="s">
        <v>6699</v>
      </c>
      <c r="AP561" t="s">
        <v>6700</v>
      </c>
      <c r="AQ561" t="s">
        <v>74</v>
      </c>
      <c r="AR561" t="s">
        <v>6701</v>
      </c>
      <c r="AS561" t="s">
        <v>6702</v>
      </c>
      <c r="AT561" t="s">
        <v>5893</v>
      </c>
      <c r="AU561">
        <v>2008</v>
      </c>
      <c r="AV561">
        <v>165</v>
      </c>
      <c r="AW561" t="s">
        <v>74</v>
      </c>
      <c r="AX561">
        <v>3</v>
      </c>
      <c r="AY561" t="s">
        <v>74</v>
      </c>
      <c r="AZ561" t="s">
        <v>74</v>
      </c>
      <c r="BA561" t="s">
        <v>74</v>
      </c>
      <c r="BB561">
        <v>675</v>
      </c>
      <c r="BC561">
        <v>685</v>
      </c>
      <c r="BD561" t="s">
        <v>74</v>
      </c>
      <c r="BE561" t="s">
        <v>6703</v>
      </c>
      <c r="BF561" t="str">
        <f>HYPERLINK("http://dx.doi.org/10.1144/0016-76492007-120","http://dx.doi.org/10.1144/0016-76492007-120")</f>
        <v>http://dx.doi.org/10.1144/0016-76492007-120</v>
      </c>
      <c r="BG561" t="s">
        <v>74</v>
      </c>
      <c r="BH561" t="s">
        <v>74</v>
      </c>
      <c r="BI561">
        <v>11</v>
      </c>
      <c r="BJ561" t="s">
        <v>3093</v>
      </c>
      <c r="BK561" t="s">
        <v>419</v>
      </c>
      <c r="BL561" t="s">
        <v>3094</v>
      </c>
      <c r="BM561" t="s">
        <v>6704</v>
      </c>
      <c r="BN561" t="s">
        <v>74</v>
      </c>
      <c r="BO561" t="s">
        <v>3110</v>
      </c>
      <c r="BP561" t="s">
        <v>74</v>
      </c>
      <c r="BQ561" t="s">
        <v>74</v>
      </c>
      <c r="BR561" t="s">
        <v>101</v>
      </c>
      <c r="BS561" t="s">
        <v>6705</v>
      </c>
      <c r="BT561" t="str">
        <f>HYPERLINK("https%3A%2F%2Fwww.webofscience.com%2Fwos%2Fwoscc%2Ffull-record%2FWOS:000256094300007","View Full Record in Web of Science")</f>
        <v>View Full Record in Web of Science</v>
      </c>
    </row>
    <row r="562" spans="1:72" x14ac:dyDescent="0.15">
      <c r="A562" t="s">
        <v>72</v>
      </c>
      <c r="B562" t="s">
        <v>6706</v>
      </c>
      <c r="C562" t="s">
        <v>74</v>
      </c>
      <c r="D562" t="s">
        <v>74</v>
      </c>
      <c r="E562" t="s">
        <v>74</v>
      </c>
      <c r="F562" t="s">
        <v>6707</v>
      </c>
      <c r="G562" t="s">
        <v>74</v>
      </c>
      <c r="H562" t="s">
        <v>74</v>
      </c>
      <c r="I562" t="s">
        <v>6708</v>
      </c>
      <c r="J562" t="s">
        <v>6709</v>
      </c>
      <c r="K562" t="s">
        <v>74</v>
      </c>
      <c r="L562" t="s">
        <v>74</v>
      </c>
      <c r="M562" t="s">
        <v>78</v>
      </c>
      <c r="N562" t="s">
        <v>2737</v>
      </c>
      <c r="O562" t="s">
        <v>74</v>
      </c>
      <c r="P562" t="s">
        <v>74</v>
      </c>
      <c r="Q562" t="s">
        <v>74</v>
      </c>
      <c r="R562" t="s">
        <v>74</v>
      </c>
      <c r="S562" t="s">
        <v>74</v>
      </c>
      <c r="T562" t="s">
        <v>74</v>
      </c>
      <c r="U562" t="s">
        <v>6710</v>
      </c>
      <c r="V562" t="s">
        <v>6711</v>
      </c>
      <c r="W562" t="s">
        <v>6712</v>
      </c>
      <c r="X562" t="s">
        <v>6713</v>
      </c>
      <c r="Y562" t="s">
        <v>6714</v>
      </c>
      <c r="Z562" t="s">
        <v>6715</v>
      </c>
      <c r="AA562" t="s">
        <v>6716</v>
      </c>
      <c r="AB562" t="s">
        <v>6717</v>
      </c>
      <c r="AC562" t="s">
        <v>74</v>
      </c>
      <c r="AD562" t="s">
        <v>74</v>
      </c>
      <c r="AE562" t="s">
        <v>74</v>
      </c>
      <c r="AF562" t="s">
        <v>74</v>
      </c>
      <c r="AG562">
        <v>25</v>
      </c>
      <c r="AH562">
        <v>71</v>
      </c>
      <c r="AI562">
        <v>79</v>
      </c>
      <c r="AJ562">
        <v>1</v>
      </c>
      <c r="AK562">
        <v>27</v>
      </c>
      <c r="AL562" t="s">
        <v>88</v>
      </c>
      <c r="AM562" t="s">
        <v>89</v>
      </c>
      <c r="AN562" t="s">
        <v>90</v>
      </c>
      <c r="AO562" t="s">
        <v>6718</v>
      </c>
      <c r="AP562" t="s">
        <v>6719</v>
      </c>
      <c r="AQ562" t="s">
        <v>74</v>
      </c>
      <c r="AR562" t="s">
        <v>6720</v>
      </c>
      <c r="AS562" t="s">
        <v>6721</v>
      </c>
      <c r="AT562" t="s">
        <v>5893</v>
      </c>
      <c r="AU562">
        <v>2008</v>
      </c>
      <c r="AV562">
        <v>53</v>
      </c>
      <c r="AW562">
        <v>3</v>
      </c>
      <c r="AX562" t="s">
        <v>74</v>
      </c>
      <c r="AY562" t="s">
        <v>74</v>
      </c>
      <c r="AZ562" t="s">
        <v>74</v>
      </c>
      <c r="BA562" t="s">
        <v>74</v>
      </c>
      <c r="BB562">
        <v>1181</v>
      </c>
      <c r="BC562">
        <v>1185</v>
      </c>
      <c r="BD562" t="s">
        <v>74</v>
      </c>
      <c r="BE562" t="s">
        <v>6722</v>
      </c>
      <c r="BF562" t="str">
        <f>HYPERLINK("http://dx.doi.org/10.4319/lo.2008.53.3.1181","http://dx.doi.org/10.4319/lo.2008.53.3.1181")</f>
        <v>http://dx.doi.org/10.4319/lo.2008.53.3.1181</v>
      </c>
      <c r="BG562" t="s">
        <v>74</v>
      </c>
      <c r="BH562" t="s">
        <v>74</v>
      </c>
      <c r="BI562">
        <v>5</v>
      </c>
      <c r="BJ562" t="s">
        <v>6723</v>
      </c>
      <c r="BK562" t="s">
        <v>419</v>
      </c>
      <c r="BL562" t="s">
        <v>4754</v>
      </c>
      <c r="BM562" t="s">
        <v>6724</v>
      </c>
      <c r="BN562" t="s">
        <v>74</v>
      </c>
      <c r="BO562" t="s">
        <v>3290</v>
      </c>
      <c r="BP562" t="s">
        <v>74</v>
      </c>
      <c r="BQ562" t="s">
        <v>74</v>
      </c>
      <c r="BR562" t="s">
        <v>101</v>
      </c>
      <c r="BS562" t="s">
        <v>6725</v>
      </c>
      <c r="BT562" t="str">
        <f>HYPERLINK("https%3A%2F%2Fwww.webofscience.com%2Fwos%2Fwoscc%2Ffull-record%2FWOS:000256498900026","View Full Record in Web of Science")</f>
        <v>View Full Record in Web of Science</v>
      </c>
    </row>
    <row r="563" spans="1:72" x14ac:dyDescent="0.15">
      <c r="A563" t="s">
        <v>72</v>
      </c>
      <c r="B563" t="s">
        <v>6726</v>
      </c>
      <c r="C563" t="s">
        <v>74</v>
      </c>
      <c r="D563" t="s">
        <v>74</v>
      </c>
      <c r="E563" t="s">
        <v>74</v>
      </c>
      <c r="F563" t="s">
        <v>6727</v>
      </c>
      <c r="G563" t="s">
        <v>74</v>
      </c>
      <c r="H563" t="s">
        <v>74</v>
      </c>
      <c r="I563" t="s">
        <v>6728</v>
      </c>
      <c r="J563" t="s">
        <v>6709</v>
      </c>
      <c r="K563" t="s">
        <v>74</v>
      </c>
      <c r="L563" t="s">
        <v>74</v>
      </c>
      <c r="M563" t="s">
        <v>78</v>
      </c>
      <c r="N563" t="s">
        <v>2737</v>
      </c>
      <c r="O563" t="s">
        <v>74</v>
      </c>
      <c r="P563" t="s">
        <v>74</v>
      </c>
      <c r="Q563" t="s">
        <v>74</v>
      </c>
      <c r="R563" t="s">
        <v>74</v>
      </c>
      <c r="S563" t="s">
        <v>74</v>
      </c>
      <c r="T563" t="s">
        <v>74</v>
      </c>
      <c r="U563" t="s">
        <v>6729</v>
      </c>
      <c r="V563" t="s">
        <v>6730</v>
      </c>
      <c r="W563" t="s">
        <v>6731</v>
      </c>
      <c r="X563" t="s">
        <v>6732</v>
      </c>
      <c r="Y563" t="s">
        <v>6733</v>
      </c>
      <c r="Z563" t="s">
        <v>6734</v>
      </c>
      <c r="AA563" t="s">
        <v>6735</v>
      </c>
      <c r="AB563" t="s">
        <v>74</v>
      </c>
      <c r="AC563" t="s">
        <v>74</v>
      </c>
      <c r="AD563" t="s">
        <v>74</v>
      </c>
      <c r="AE563" t="s">
        <v>74</v>
      </c>
      <c r="AF563" t="s">
        <v>74</v>
      </c>
      <c r="AG563">
        <v>27</v>
      </c>
      <c r="AH563">
        <v>7</v>
      </c>
      <c r="AI563">
        <v>7</v>
      </c>
      <c r="AJ563">
        <v>0</v>
      </c>
      <c r="AK563">
        <v>2</v>
      </c>
      <c r="AL563" t="s">
        <v>88</v>
      </c>
      <c r="AM563" t="s">
        <v>89</v>
      </c>
      <c r="AN563" t="s">
        <v>90</v>
      </c>
      <c r="AO563" t="s">
        <v>6718</v>
      </c>
      <c r="AP563" t="s">
        <v>6719</v>
      </c>
      <c r="AQ563" t="s">
        <v>74</v>
      </c>
      <c r="AR563" t="s">
        <v>6720</v>
      </c>
      <c r="AS563" t="s">
        <v>6721</v>
      </c>
      <c r="AT563" t="s">
        <v>5893</v>
      </c>
      <c r="AU563">
        <v>2008</v>
      </c>
      <c r="AV563">
        <v>53</v>
      </c>
      <c r="AW563">
        <v>3</v>
      </c>
      <c r="AX563" t="s">
        <v>74</v>
      </c>
      <c r="AY563" t="s">
        <v>74</v>
      </c>
      <c r="AZ563" t="s">
        <v>74</v>
      </c>
      <c r="BA563" t="s">
        <v>74</v>
      </c>
      <c r="BB563">
        <v>1186</v>
      </c>
      <c r="BC563">
        <v>1191</v>
      </c>
      <c r="BD563" t="s">
        <v>74</v>
      </c>
      <c r="BE563" t="s">
        <v>6736</v>
      </c>
      <c r="BF563" t="str">
        <f>HYPERLINK("http://dx.doi.org/10.4319/lo.2008.53.3.1186","http://dx.doi.org/10.4319/lo.2008.53.3.1186")</f>
        <v>http://dx.doi.org/10.4319/lo.2008.53.3.1186</v>
      </c>
      <c r="BG563" t="s">
        <v>74</v>
      </c>
      <c r="BH563" t="s">
        <v>74</v>
      </c>
      <c r="BI563">
        <v>6</v>
      </c>
      <c r="BJ563" t="s">
        <v>6723</v>
      </c>
      <c r="BK563" t="s">
        <v>419</v>
      </c>
      <c r="BL563" t="s">
        <v>4754</v>
      </c>
      <c r="BM563" t="s">
        <v>6724</v>
      </c>
      <c r="BN563" t="s">
        <v>74</v>
      </c>
      <c r="BO563" t="s">
        <v>3290</v>
      </c>
      <c r="BP563" t="s">
        <v>74</v>
      </c>
      <c r="BQ563" t="s">
        <v>74</v>
      </c>
      <c r="BR563" t="s">
        <v>101</v>
      </c>
      <c r="BS563" t="s">
        <v>6737</v>
      </c>
      <c r="BT563" t="str">
        <f>HYPERLINK("https%3A%2F%2Fwww.webofscience.com%2Fwos%2Fwoscc%2Ffull-record%2FWOS:000256498900027","View Full Record in Web of Science")</f>
        <v>View Full Record in Web of Science</v>
      </c>
    </row>
    <row r="564" spans="1:72" x14ac:dyDescent="0.15">
      <c r="A564" t="s">
        <v>72</v>
      </c>
      <c r="B564" t="s">
        <v>6738</v>
      </c>
      <c r="C564" t="s">
        <v>74</v>
      </c>
      <c r="D564" t="s">
        <v>74</v>
      </c>
      <c r="E564" t="s">
        <v>74</v>
      </c>
      <c r="F564" t="s">
        <v>6739</v>
      </c>
      <c r="G564" t="s">
        <v>74</v>
      </c>
      <c r="H564" t="s">
        <v>74</v>
      </c>
      <c r="I564" t="s">
        <v>6740</v>
      </c>
      <c r="J564" t="s">
        <v>6741</v>
      </c>
      <c r="K564" t="s">
        <v>74</v>
      </c>
      <c r="L564" t="s">
        <v>74</v>
      </c>
      <c r="M564" t="s">
        <v>78</v>
      </c>
      <c r="N564" t="s">
        <v>2958</v>
      </c>
      <c r="O564" t="s">
        <v>74</v>
      </c>
      <c r="P564" t="s">
        <v>74</v>
      </c>
      <c r="Q564" t="s">
        <v>74</v>
      </c>
      <c r="R564" t="s">
        <v>74</v>
      </c>
      <c r="S564" t="s">
        <v>74</v>
      </c>
      <c r="T564" t="s">
        <v>6742</v>
      </c>
      <c r="U564" t="s">
        <v>6743</v>
      </c>
      <c r="V564" t="s">
        <v>6744</v>
      </c>
      <c r="W564" t="s">
        <v>6745</v>
      </c>
      <c r="X564" t="s">
        <v>6746</v>
      </c>
      <c r="Y564" t="s">
        <v>6747</v>
      </c>
      <c r="Z564" t="s">
        <v>6748</v>
      </c>
      <c r="AA564" t="s">
        <v>6749</v>
      </c>
      <c r="AB564" t="s">
        <v>6750</v>
      </c>
      <c r="AC564" t="s">
        <v>74</v>
      </c>
      <c r="AD564" t="s">
        <v>74</v>
      </c>
      <c r="AE564" t="s">
        <v>74</v>
      </c>
      <c r="AF564" t="s">
        <v>74</v>
      </c>
      <c r="AG564">
        <v>104</v>
      </c>
      <c r="AH564">
        <v>37</v>
      </c>
      <c r="AI564">
        <v>48</v>
      </c>
      <c r="AJ564">
        <v>2</v>
      </c>
      <c r="AK564">
        <v>19</v>
      </c>
      <c r="AL564" t="s">
        <v>3257</v>
      </c>
      <c r="AM564" t="s">
        <v>3258</v>
      </c>
      <c r="AN564" t="s">
        <v>3259</v>
      </c>
      <c r="AO564" t="s">
        <v>6751</v>
      </c>
      <c r="AP564" t="s">
        <v>6752</v>
      </c>
      <c r="AQ564" t="s">
        <v>74</v>
      </c>
      <c r="AR564" t="s">
        <v>6753</v>
      </c>
      <c r="AS564" t="s">
        <v>6754</v>
      </c>
      <c r="AT564" t="s">
        <v>5893</v>
      </c>
      <c r="AU564">
        <v>2008</v>
      </c>
      <c r="AV564">
        <v>67</v>
      </c>
      <c r="AW564" t="s">
        <v>3263</v>
      </c>
      <c r="AX564" t="s">
        <v>74</v>
      </c>
      <c r="AY564" t="s">
        <v>74</v>
      </c>
      <c r="AZ564" t="s">
        <v>74</v>
      </c>
      <c r="BA564" t="s">
        <v>74</v>
      </c>
      <c r="BB564">
        <v>274</v>
      </c>
      <c r="BC564">
        <v>287</v>
      </c>
      <c r="BD564" t="s">
        <v>74</v>
      </c>
      <c r="BE564" t="s">
        <v>6755</v>
      </c>
      <c r="BF564" t="str">
        <f>HYPERLINK("http://dx.doi.org/10.1016/j.marmicro.2008.02.001","http://dx.doi.org/10.1016/j.marmicro.2008.02.001")</f>
        <v>http://dx.doi.org/10.1016/j.marmicro.2008.02.001</v>
      </c>
      <c r="BG564" t="s">
        <v>74</v>
      </c>
      <c r="BH564" t="s">
        <v>74</v>
      </c>
      <c r="BI564">
        <v>14</v>
      </c>
      <c r="BJ564" t="s">
        <v>3226</v>
      </c>
      <c r="BK564" t="s">
        <v>419</v>
      </c>
      <c r="BL564" t="s">
        <v>3226</v>
      </c>
      <c r="BM564" t="s">
        <v>6756</v>
      </c>
      <c r="BN564" t="s">
        <v>74</v>
      </c>
      <c r="BO564" t="s">
        <v>74</v>
      </c>
      <c r="BP564" t="s">
        <v>74</v>
      </c>
      <c r="BQ564" t="s">
        <v>74</v>
      </c>
      <c r="BR564" t="s">
        <v>101</v>
      </c>
      <c r="BS564" t="s">
        <v>6757</v>
      </c>
      <c r="BT564" t="str">
        <f>HYPERLINK("https%3A%2F%2Fwww.webofscience.com%2Fwos%2Fwoscc%2Ffull-record%2FWOS:000256981100005","View Full Record in Web of Science")</f>
        <v>View Full Record in Web of Science</v>
      </c>
    </row>
    <row r="565" spans="1:72" x14ac:dyDescent="0.15">
      <c r="A565" t="s">
        <v>72</v>
      </c>
      <c r="B565" t="s">
        <v>6758</v>
      </c>
      <c r="C565" t="s">
        <v>74</v>
      </c>
      <c r="D565" t="s">
        <v>74</v>
      </c>
      <c r="E565" t="s">
        <v>74</v>
      </c>
      <c r="F565" t="s">
        <v>6759</v>
      </c>
      <c r="G565" t="s">
        <v>74</v>
      </c>
      <c r="H565" t="s">
        <v>74</v>
      </c>
      <c r="I565" t="s">
        <v>6760</v>
      </c>
      <c r="J565" t="s">
        <v>6761</v>
      </c>
      <c r="K565" t="s">
        <v>74</v>
      </c>
      <c r="L565" t="s">
        <v>74</v>
      </c>
      <c r="M565" t="s">
        <v>78</v>
      </c>
      <c r="N565" t="s">
        <v>2737</v>
      </c>
      <c r="O565" t="s">
        <v>74</v>
      </c>
      <c r="P565" t="s">
        <v>74</v>
      </c>
      <c r="Q565" t="s">
        <v>74</v>
      </c>
      <c r="R565" t="s">
        <v>74</v>
      </c>
      <c r="S565" t="s">
        <v>74</v>
      </c>
      <c r="T565" t="s">
        <v>6762</v>
      </c>
      <c r="U565" t="s">
        <v>74</v>
      </c>
      <c r="V565" t="s">
        <v>6763</v>
      </c>
      <c r="W565" t="s">
        <v>6764</v>
      </c>
      <c r="X565" t="s">
        <v>6765</v>
      </c>
      <c r="Y565" t="s">
        <v>6766</v>
      </c>
      <c r="Z565" t="s">
        <v>6767</v>
      </c>
      <c r="AA565" t="s">
        <v>74</v>
      </c>
      <c r="AB565" t="s">
        <v>74</v>
      </c>
      <c r="AC565" t="s">
        <v>74</v>
      </c>
      <c r="AD565" t="s">
        <v>74</v>
      </c>
      <c r="AE565" t="s">
        <v>74</v>
      </c>
      <c r="AF565" t="s">
        <v>74</v>
      </c>
      <c r="AG565">
        <v>11</v>
      </c>
      <c r="AH565">
        <v>6</v>
      </c>
      <c r="AI565">
        <v>8</v>
      </c>
      <c r="AJ565">
        <v>2</v>
      </c>
      <c r="AK565">
        <v>16</v>
      </c>
      <c r="AL565" t="s">
        <v>6206</v>
      </c>
      <c r="AM565" t="s">
        <v>3008</v>
      </c>
      <c r="AN565" t="s">
        <v>6207</v>
      </c>
      <c r="AO565" t="s">
        <v>6768</v>
      </c>
      <c r="AP565" t="s">
        <v>74</v>
      </c>
      <c r="AQ565" t="s">
        <v>74</v>
      </c>
      <c r="AR565" t="s">
        <v>6769</v>
      </c>
      <c r="AS565" t="s">
        <v>6770</v>
      </c>
      <c r="AT565" t="s">
        <v>5893</v>
      </c>
      <c r="AU565">
        <v>2008</v>
      </c>
      <c r="AV565">
        <v>32</v>
      </c>
      <c r="AW565">
        <v>3</v>
      </c>
      <c r="AX565" t="s">
        <v>74</v>
      </c>
      <c r="AY565" t="s">
        <v>74</v>
      </c>
      <c r="AZ565" t="s">
        <v>74</v>
      </c>
      <c r="BA565" t="s">
        <v>74</v>
      </c>
      <c r="BB565">
        <v>333</v>
      </c>
      <c r="BC565">
        <v>338</v>
      </c>
      <c r="BD565" t="s">
        <v>74</v>
      </c>
      <c r="BE565" t="s">
        <v>6771</v>
      </c>
      <c r="BF565" t="str">
        <f>HYPERLINK("http://dx.doi.org/10.1016/j.marpol.2007.07.002","http://dx.doi.org/10.1016/j.marpol.2007.07.002")</f>
        <v>http://dx.doi.org/10.1016/j.marpol.2007.07.002</v>
      </c>
      <c r="BG565" t="s">
        <v>74</v>
      </c>
      <c r="BH565" t="s">
        <v>74</v>
      </c>
      <c r="BI565">
        <v>6</v>
      </c>
      <c r="BJ565" t="s">
        <v>6772</v>
      </c>
      <c r="BK565" t="s">
        <v>4307</v>
      </c>
      <c r="BL565" t="s">
        <v>6773</v>
      </c>
      <c r="BM565" t="s">
        <v>6774</v>
      </c>
      <c r="BN565" t="s">
        <v>74</v>
      </c>
      <c r="BO565" t="s">
        <v>74</v>
      </c>
      <c r="BP565" t="s">
        <v>74</v>
      </c>
      <c r="BQ565" t="s">
        <v>74</v>
      </c>
      <c r="BR565" t="s">
        <v>101</v>
      </c>
      <c r="BS565" t="s">
        <v>6775</v>
      </c>
      <c r="BT565" t="str">
        <f>HYPERLINK("https%3A%2F%2Fwww.webofscience.com%2Fwos%2Fwoscc%2Ffull-record%2FWOS:000255571800010","View Full Record in Web of Science")</f>
        <v>View Full Record in Web of Science</v>
      </c>
    </row>
    <row r="566" spans="1:72" x14ac:dyDescent="0.15">
      <c r="A566" t="s">
        <v>72</v>
      </c>
      <c r="B566" t="s">
        <v>6758</v>
      </c>
      <c r="C566" t="s">
        <v>74</v>
      </c>
      <c r="D566" t="s">
        <v>74</v>
      </c>
      <c r="E566" t="s">
        <v>74</v>
      </c>
      <c r="F566" t="s">
        <v>6759</v>
      </c>
      <c r="G566" t="s">
        <v>74</v>
      </c>
      <c r="H566" t="s">
        <v>74</v>
      </c>
      <c r="I566" t="s">
        <v>6776</v>
      </c>
      <c r="J566" t="s">
        <v>6761</v>
      </c>
      <c r="K566" t="s">
        <v>74</v>
      </c>
      <c r="L566" t="s">
        <v>74</v>
      </c>
      <c r="M566" t="s">
        <v>78</v>
      </c>
      <c r="N566" t="s">
        <v>2737</v>
      </c>
      <c r="O566" t="s">
        <v>74</v>
      </c>
      <c r="P566" t="s">
        <v>74</v>
      </c>
      <c r="Q566" t="s">
        <v>74</v>
      </c>
      <c r="R566" t="s">
        <v>74</v>
      </c>
      <c r="S566" t="s">
        <v>74</v>
      </c>
      <c r="T566" t="s">
        <v>6777</v>
      </c>
      <c r="U566" t="s">
        <v>74</v>
      </c>
      <c r="V566" t="s">
        <v>6778</v>
      </c>
      <c r="W566" t="s">
        <v>6779</v>
      </c>
      <c r="X566" t="s">
        <v>6765</v>
      </c>
      <c r="Y566" t="s">
        <v>6780</v>
      </c>
      <c r="Z566" t="s">
        <v>6767</v>
      </c>
      <c r="AA566" t="s">
        <v>74</v>
      </c>
      <c r="AB566" t="s">
        <v>74</v>
      </c>
      <c r="AC566" t="s">
        <v>74</v>
      </c>
      <c r="AD566" t="s">
        <v>74</v>
      </c>
      <c r="AE566" t="s">
        <v>74</v>
      </c>
      <c r="AF566" t="s">
        <v>74</v>
      </c>
      <c r="AG566">
        <v>5</v>
      </c>
      <c r="AH566">
        <v>3</v>
      </c>
      <c r="AI566">
        <v>3</v>
      </c>
      <c r="AJ566">
        <v>2</v>
      </c>
      <c r="AK566">
        <v>19</v>
      </c>
      <c r="AL566" t="s">
        <v>6206</v>
      </c>
      <c r="AM566" t="s">
        <v>3008</v>
      </c>
      <c r="AN566" t="s">
        <v>6207</v>
      </c>
      <c r="AO566" t="s">
        <v>6768</v>
      </c>
      <c r="AP566" t="s">
        <v>74</v>
      </c>
      <c r="AQ566" t="s">
        <v>74</v>
      </c>
      <c r="AR566" t="s">
        <v>6769</v>
      </c>
      <c r="AS566" t="s">
        <v>6770</v>
      </c>
      <c r="AT566" t="s">
        <v>5893</v>
      </c>
      <c r="AU566">
        <v>2008</v>
      </c>
      <c r="AV566">
        <v>32</v>
      </c>
      <c r="AW566">
        <v>3</v>
      </c>
      <c r="AX566" t="s">
        <v>74</v>
      </c>
      <c r="AY566" t="s">
        <v>74</v>
      </c>
      <c r="AZ566" t="s">
        <v>74</v>
      </c>
      <c r="BA566" t="s">
        <v>74</v>
      </c>
      <c r="BB566">
        <v>402</v>
      </c>
      <c r="BC566">
        <v>407</v>
      </c>
      <c r="BD566" t="s">
        <v>74</v>
      </c>
      <c r="BE566" t="s">
        <v>6781</v>
      </c>
      <c r="BF566" t="str">
        <f>HYPERLINK("http://dx.doi.org/10.1016/j.marpol.2007.08.003","http://dx.doi.org/10.1016/j.marpol.2007.08.003")</f>
        <v>http://dx.doi.org/10.1016/j.marpol.2007.08.003</v>
      </c>
      <c r="BG566" t="s">
        <v>74</v>
      </c>
      <c r="BH566" t="s">
        <v>74</v>
      </c>
      <c r="BI566">
        <v>6</v>
      </c>
      <c r="BJ566" t="s">
        <v>6772</v>
      </c>
      <c r="BK566" t="s">
        <v>4307</v>
      </c>
      <c r="BL566" t="s">
        <v>6773</v>
      </c>
      <c r="BM566" t="s">
        <v>6774</v>
      </c>
      <c r="BN566" t="s">
        <v>74</v>
      </c>
      <c r="BO566" t="s">
        <v>74</v>
      </c>
      <c r="BP566" t="s">
        <v>74</v>
      </c>
      <c r="BQ566" t="s">
        <v>74</v>
      </c>
      <c r="BR566" t="s">
        <v>101</v>
      </c>
      <c r="BS566" t="s">
        <v>6782</v>
      </c>
      <c r="BT566" t="str">
        <f>HYPERLINK("https%3A%2F%2Fwww.webofscience.com%2Fwos%2Fwoscc%2Ffull-record%2FWOS:000255571800018","View Full Record in Web of Science")</f>
        <v>View Full Record in Web of Science</v>
      </c>
    </row>
    <row r="567" spans="1:72" x14ac:dyDescent="0.15">
      <c r="A567" t="s">
        <v>72</v>
      </c>
      <c r="B567" t="s">
        <v>6783</v>
      </c>
      <c r="C567" t="s">
        <v>74</v>
      </c>
      <c r="D567" t="s">
        <v>74</v>
      </c>
      <c r="E567" t="s">
        <v>74</v>
      </c>
      <c r="F567" t="s">
        <v>6784</v>
      </c>
      <c r="G567" t="s">
        <v>74</v>
      </c>
      <c r="H567" t="s">
        <v>74</v>
      </c>
      <c r="I567" t="s">
        <v>6785</v>
      </c>
      <c r="J567" t="s">
        <v>6761</v>
      </c>
      <c r="K567" t="s">
        <v>74</v>
      </c>
      <c r="L567" t="s">
        <v>74</v>
      </c>
      <c r="M567" t="s">
        <v>78</v>
      </c>
      <c r="N567" t="s">
        <v>2737</v>
      </c>
      <c r="O567" t="s">
        <v>74</v>
      </c>
      <c r="P567" t="s">
        <v>74</v>
      </c>
      <c r="Q567" t="s">
        <v>74</v>
      </c>
      <c r="R567" t="s">
        <v>74</v>
      </c>
      <c r="S567" t="s">
        <v>74</v>
      </c>
      <c r="T567" t="s">
        <v>6786</v>
      </c>
      <c r="U567" t="s">
        <v>6787</v>
      </c>
      <c r="V567" t="s">
        <v>6788</v>
      </c>
      <c r="W567" t="s">
        <v>6789</v>
      </c>
      <c r="X567" t="s">
        <v>5937</v>
      </c>
      <c r="Y567" t="s">
        <v>6790</v>
      </c>
      <c r="Z567" t="s">
        <v>6791</v>
      </c>
      <c r="AA567" t="s">
        <v>74</v>
      </c>
      <c r="AB567" t="s">
        <v>74</v>
      </c>
      <c r="AC567" t="s">
        <v>74</v>
      </c>
      <c r="AD567" t="s">
        <v>74</v>
      </c>
      <c r="AE567" t="s">
        <v>74</v>
      </c>
      <c r="AF567" t="s">
        <v>74</v>
      </c>
      <c r="AG567">
        <v>24</v>
      </c>
      <c r="AH567">
        <v>21</v>
      </c>
      <c r="AI567">
        <v>24</v>
      </c>
      <c r="AJ567">
        <v>5</v>
      </c>
      <c r="AK567">
        <v>55</v>
      </c>
      <c r="AL567" t="s">
        <v>6206</v>
      </c>
      <c r="AM567" t="s">
        <v>3008</v>
      </c>
      <c r="AN567" t="s">
        <v>6207</v>
      </c>
      <c r="AO567" t="s">
        <v>6768</v>
      </c>
      <c r="AP567" t="s">
        <v>74</v>
      </c>
      <c r="AQ567" t="s">
        <v>74</v>
      </c>
      <c r="AR567" t="s">
        <v>6769</v>
      </c>
      <c r="AS567" t="s">
        <v>6770</v>
      </c>
      <c r="AT567" t="s">
        <v>5893</v>
      </c>
      <c r="AU567">
        <v>2008</v>
      </c>
      <c r="AV567">
        <v>32</v>
      </c>
      <c r="AW567">
        <v>3</v>
      </c>
      <c r="AX567" t="s">
        <v>74</v>
      </c>
      <c r="AY567" t="s">
        <v>74</v>
      </c>
      <c r="AZ567" t="s">
        <v>74</v>
      </c>
      <c r="BA567" t="s">
        <v>74</v>
      </c>
      <c r="BB567">
        <v>408</v>
      </c>
      <c r="BC567">
        <v>412</v>
      </c>
      <c r="BD567" t="s">
        <v>74</v>
      </c>
      <c r="BE567" t="s">
        <v>6792</v>
      </c>
      <c r="BF567" t="str">
        <f>HYPERLINK("http://dx.doi.org/10.1016/j.marpol.2007.08.004","http://dx.doi.org/10.1016/j.marpol.2007.08.004")</f>
        <v>http://dx.doi.org/10.1016/j.marpol.2007.08.004</v>
      </c>
      <c r="BG567" t="s">
        <v>74</v>
      </c>
      <c r="BH567" t="s">
        <v>74</v>
      </c>
      <c r="BI567">
        <v>5</v>
      </c>
      <c r="BJ567" t="s">
        <v>6772</v>
      </c>
      <c r="BK567" t="s">
        <v>4307</v>
      </c>
      <c r="BL567" t="s">
        <v>6773</v>
      </c>
      <c r="BM567" t="s">
        <v>6774</v>
      </c>
      <c r="BN567" t="s">
        <v>74</v>
      </c>
      <c r="BO567" t="s">
        <v>74</v>
      </c>
      <c r="BP567" t="s">
        <v>74</v>
      </c>
      <c r="BQ567" t="s">
        <v>74</v>
      </c>
      <c r="BR567" t="s">
        <v>101</v>
      </c>
      <c r="BS567" t="s">
        <v>6793</v>
      </c>
      <c r="BT567" t="str">
        <f>HYPERLINK("https%3A%2F%2Fwww.webofscience.com%2Fwos%2Fwoscc%2Ffull-record%2FWOS:000255571800019","View Full Record in Web of Science")</f>
        <v>View Full Record in Web of Science</v>
      </c>
    </row>
    <row r="568" spans="1:72" x14ac:dyDescent="0.15">
      <c r="A568" t="s">
        <v>72</v>
      </c>
      <c r="B568" t="s">
        <v>6794</v>
      </c>
      <c r="C568" t="s">
        <v>74</v>
      </c>
      <c r="D568" t="s">
        <v>74</v>
      </c>
      <c r="E568" t="s">
        <v>74</v>
      </c>
      <c r="F568" t="s">
        <v>6795</v>
      </c>
      <c r="G568" t="s">
        <v>74</v>
      </c>
      <c r="H568" t="s">
        <v>74</v>
      </c>
      <c r="I568" t="s">
        <v>6796</v>
      </c>
      <c r="J568" t="s">
        <v>6761</v>
      </c>
      <c r="K568" t="s">
        <v>74</v>
      </c>
      <c r="L568" t="s">
        <v>74</v>
      </c>
      <c r="M568" t="s">
        <v>78</v>
      </c>
      <c r="N568" t="s">
        <v>2737</v>
      </c>
      <c r="O568" t="s">
        <v>74</v>
      </c>
      <c r="P568" t="s">
        <v>74</v>
      </c>
      <c r="Q568" t="s">
        <v>74</v>
      </c>
      <c r="R568" t="s">
        <v>74</v>
      </c>
      <c r="S568" t="s">
        <v>74</v>
      </c>
      <c r="T568" t="s">
        <v>6797</v>
      </c>
      <c r="U568" t="s">
        <v>6798</v>
      </c>
      <c r="V568" t="s">
        <v>6799</v>
      </c>
      <c r="W568" t="s">
        <v>6800</v>
      </c>
      <c r="X568" t="s">
        <v>6801</v>
      </c>
      <c r="Y568" t="s">
        <v>6802</v>
      </c>
      <c r="Z568" t="s">
        <v>6803</v>
      </c>
      <c r="AA568" t="s">
        <v>74</v>
      </c>
      <c r="AB568" t="s">
        <v>6804</v>
      </c>
      <c r="AC568" t="s">
        <v>74</v>
      </c>
      <c r="AD568" t="s">
        <v>74</v>
      </c>
      <c r="AE568" t="s">
        <v>74</v>
      </c>
      <c r="AF568" t="s">
        <v>74</v>
      </c>
      <c r="AG568">
        <v>23</v>
      </c>
      <c r="AH568">
        <v>41</v>
      </c>
      <c r="AI568">
        <v>45</v>
      </c>
      <c r="AJ568">
        <v>0</v>
      </c>
      <c r="AK568">
        <v>20</v>
      </c>
      <c r="AL568" t="s">
        <v>6206</v>
      </c>
      <c r="AM568" t="s">
        <v>3008</v>
      </c>
      <c r="AN568" t="s">
        <v>6207</v>
      </c>
      <c r="AO568" t="s">
        <v>6768</v>
      </c>
      <c r="AP568" t="s">
        <v>6805</v>
      </c>
      <c r="AQ568" t="s">
        <v>74</v>
      </c>
      <c r="AR568" t="s">
        <v>6769</v>
      </c>
      <c r="AS568" t="s">
        <v>6770</v>
      </c>
      <c r="AT568" t="s">
        <v>5893</v>
      </c>
      <c r="AU568">
        <v>2008</v>
      </c>
      <c r="AV568">
        <v>32</v>
      </c>
      <c r="AW568">
        <v>3</v>
      </c>
      <c r="AX568" t="s">
        <v>74</v>
      </c>
      <c r="AY568" t="s">
        <v>74</v>
      </c>
      <c r="AZ568" t="s">
        <v>74</v>
      </c>
      <c r="BA568" t="s">
        <v>74</v>
      </c>
      <c r="BB568">
        <v>442</v>
      </c>
      <c r="BC568">
        <v>454</v>
      </c>
      <c r="BD568" t="s">
        <v>74</v>
      </c>
      <c r="BE568" t="s">
        <v>6806</v>
      </c>
      <c r="BF568" t="str">
        <f>HYPERLINK("http://dx.doi.org/10.1016/j.marpol.2007.08.011","http://dx.doi.org/10.1016/j.marpol.2007.08.011")</f>
        <v>http://dx.doi.org/10.1016/j.marpol.2007.08.011</v>
      </c>
      <c r="BG568" t="s">
        <v>74</v>
      </c>
      <c r="BH568" t="s">
        <v>74</v>
      </c>
      <c r="BI568">
        <v>13</v>
      </c>
      <c r="BJ568" t="s">
        <v>6772</v>
      </c>
      <c r="BK568" t="s">
        <v>4307</v>
      </c>
      <c r="BL568" t="s">
        <v>6773</v>
      </c>
      <c r="BM568" t="s">
        <v>6774</v>
      </c>
      <c r="BN568" t="s">
        <v>74</v>
      </c>
      <c r="BO568" t="s">
        <v>3311</v>
      </c>
      <c r="BP568" t="s">
        <v>74</v>
      </c>
      <c r="BQ568" t="s">
        <v>74</v>
      </c>
      <c r="BR568" t="s">
        <v>101</v>
      </c>
      <c r="BS568" t="s">
        <v>6807</v>
      </c>
      <c r="BT568" t="str">
        <f>HYPERLINK("https%3A%2F%2Fwww.webofscience.com%2Fwos%2Fwoscc%2Ffull-record%2FWOS:000255571800023","View Full Record in Web of Science")</f>
        <v>View Full Record in Web of Science</v>
      </c>
    </row>
    <row r="569" spans="1:72" x14ac:dyDescent="0.15">
      <c r="A569" t="s">
        <v>72</v>
      </c>
      <c r="B569" t="s">
        <v>6758</v>
      </c>
      <c r="C569" t="s">
        <v>74</v>
      </c>
      <c r="D569" t="s">
        <v>74</v>
      </c>
      <c r="E569" t="s">
        <v>74</v>
      </c>
      <c r="F569" t="s">
        <v>6759</v>
      </c>
      <c r="G569" t="s">
        <v>74</v>
      </c>
      <c r="H569" t="s">
        <v>74</v>
      </c>
      <c r="I569" t="s">
        <v>6808</v>
      </c>
      <c r="J569" t="s">
        <v>6761</v>
      </c>
      <c r="K569" t="s">
        <v>74</v>
      </c>
      <c r="L569" t="s">
        <v>74</v>
      </c>
      <c r="M569" t="s">
        <v>78</v>
      </c>
      <c r="N569" t="s">
        <v>2737</v>
      </c>
      <c r="O569" t="s">
        <v>74</v>
      </c>
      <c r="P569" t="s">
        <v>74</v>
      </c>
      <c r="Q569" t="s">
        <v>74</v>
      </c>
      <c r="R569" t="s">
        <v>74</v>
      </c>
      <c r="S569" t="s">
        <v>74</v>
      </c>
      <c r="T569" t="s">
        <v>6809</v>
      </c>
      <c r="U569" t="s">
        <v>6810</v>
      </c>
      <c r="V569" t="s">
        <v>6811</v>
      </c>
      <c r="W569" t="s">
        <v>6764</v>
      </c>
      <c r="X569" t="s">
        <v>6765</v>
      </c>
      <c r="Y569" t="s">
        <v>6766</v>
      </c>
      <c r="Z569" t="s">
        <v>6767</v>
      </c>
      <c r="AA569" t="s">
        <v>74</v>
      </c>
      <c r="AB569" t="s">
        <v>74</v>
      </c>
      <c r="AC569" t="s">
        <v>74</v>
      </c>
      <c r="AD569" t="s">
        <v>74</v>
      </c>
      <c r="AE569" t="s">
        <v>74</v>
      </c>
      <c r="AF569" t="s">
        <v>74</v>
      </c>
      <c r="AG569">
        <v>14</v>
      </c>
      <c r="AH569">
        <v>8</v>
      </c>
      <c r="AI569">
        <v>8</v>
      </c>
      <c r="AJ569">
        <v>0</v>
      </c>
      <c r="AK569">
        <v>7</v>
      </c>
      <c r="AL569" t="s">
        <v>6206</v>
      </c>
      <c r="AM569" t="s">
        <v>3008</v>
      </c>
      <c r="AN569" t="s">
        <v>6207</v>
      </c>
      <c r="AO569" t="s">
        <v>6768</v>
      </c>
      <c r="AP569" t="s">
        <v>74</v>
      </c>
      <c r="AQ569" t="s">
        <v>74</v>
      </c>
      <c r="AR569" t="s">
        <v>6769</v>
      </c>
      <c r="AS569" t="s">
        <v>6770</v>
      </c>
      <c r="AT569" t="s">
        <v>5893</v>
      </c>
      <c r="AU569">
        <v>2008</v>
      </c>
      <c r="AV569">
        <v>32</v>
      </c>
      <c r="AW569">
        <v>3</v>
      </c>
      <c r="AX569" t="s">
        <v>74</v>
      </c>
      <c r="AY569" t="s">
        <v>74</v>
      </c>
      <c r="AZ569" t="s">
        <v>74</v>
      </c>
      <c r="BA569" t="s">
        <v>74</v>
      </c>
      <c r="BB569">
        <v>522</v>
      </c>
      <c r="BC569">
        <v>527</v>
      </c>
      <c r="BD569" t="s">
        <v>74</v>
      </c>
      <c r="BE569" t="s">
        <v>6812</v>
      </c>
      <c r="BF569" t="str">
        <f>HYPERLINK("http://dx.doi.org/10.1016/j.marpol.2007.10.001","http://dx.doi.org/10.1016/j.marpol.2007.10.001")</f>
        <v>http://dx.doi.org/10.1016/j.marpol.2007.10.001</v>
      </c>
      <c r="BG569" t="s">
        <v>74</v>
      </c>
      <c r="BH569" t="s">
        <v>74</v>
      </c>
      <c r="BI569">
        <v>6</v>
      </c>
      <c r="BJ569" t="s">
        <v>6772</v>
      </c>
      <c r="BK569" t="s">
        <v>4307</v>
      </c>
      <c r="BL569" t="s">
        <v>6773</v>
      </c>
      <c r="BM569" t="s">
        <v>6774</v>
      </c>
      <c r="BN569" t="s">
        <v>74</v>
      </c>
      <c r="BO569" t="s">
        <v>74</v>
      </c>
      <c r="BP569" t="s">
        <v>74</v>
      </c>
      <c r="BQ569" t="s">
        <v>74</v>
      </c>
      <c r="BR569" t="s">
        <v>101</v>
      </c>
      <c r="BS569" t="s">
        <v>6813</v>
      </c>
      <c r="BT569" t="str">
        <f>HYPERLINK("https%3A%2F%2Fwww.webofscience.com%2Fwos%2Fwoscc%2Ffull-record%2FWOS:000255571800032","View Full Record in Web of Science")</f>
        <v>View Full Record in Web of Science</v>
      </c>
    </row>
    <row r="570" spans="1:72" x14ac:dyDescent="0.15">
      <c r="A570" t="s">
        <v>72</v>
      </c>
      <c r="B570" t="s">
        <v>6814</v>
      </c>
      <c r="C570" t="s">
        <v>74</v>
      </c>
      <c r="D570" t="s">
        <v>74</v>
      </c>
      <c r="E570" t="s">
        <v>74</v>
      </c>
      <c r="F570" t="s">
        <v>6815</v>
      </c>
      <c r="G570" t="s">
        <v>74</v>
      </c>
      <c r="H570" t="s">
        <v>74</v>
      </c>
      <c r="I570" t="s">
        <v>6816</v>
      </c>
      <c r="J570" t="s">
        <v>6817</v>
      </c>
      <c r="K570" t="s">
        <v>74</v>
      </c>
      <c r="L570" t="s">
        <v>74</v>
      </c>
      <c r="M570" t="s">
        <v>78</v>
      </c>
      <c r="N570" t="s">
        <v>2737</v>
      </c>
      <c r="O570" t="s">
        <v>74</v>
      </c>
      <c r="P570" t="s">
        <v>74</v>
      </c>
      <c r="Q570" t="s">
        <v>74</v>
      </c>
      <c r="R570" t="s">
        <v>74</v>
      </c>
      <c r="S570" t="s">
        <v>74</v>
      </c>
      <c r="T570" t="s">
        <v>6818</v>
      </c>
      <c r="U570" t="s">
        <v>6819</v>
      </c>
      <c r="V570" t="s">
        <v>6820</v>
      </c>
      <c r="W570" t="s">
        <v>6821</v>
      </c>
      <c r="X570" t="s">
        <v>6822</v>
      </c>
      <c r="Y570" t="s">
        <v>6823</v>
      </c>
      <c r="Z570" t="s">
        <v>6824</v>
      </c>
      <c r="AA570" t="s">
        <v>6825</v>
      </c>
      <c r="AB570" t="s">
        <v>6826</v>
      </c>
      <c r="AC570" t="s">
        <v>74</v>
      </c>
      <c r="AD570" t="s">
        <v>74</v>
      </c>
      <c r="AE570" t="s">
        <v>74</v>
      </c>
      <c r="AF570" t="s">
        <v>74</v>
      </c>
      <c r="AG570">
        <v>34</v>
      </c>
      <c r="AH570">
        <v>68</v>
      </c>
      <c r="AI570">
        <v>83</v>
      </c>
      <c r="AJ570">
        <v>0</v>
      </c>
      <c r="AK570">
        <v>12</v>
      </c>
      <c r="AL570" t="s">
        <v>5781</v>
      </c>
      <c r="AM570" t="s">
        <v>5782</v>
      </c>
      <c r="AN570" t="s">
        <v>5783</v>
      </c>
      <c r="AO570" t="s">
        <v>6827</v>
      </c>
      <c r="AP570" t="s">
        <v>74</v>
      </c>
      <c r="AQ570" t="s">
        <v>74</v>
      </c>
      <c r="AR570" t="s">
        <v>6828</v>
      </c>
      <c r="AS570" t="s">
        <v>6829</v>
      </c>
      <c r="AT570" t="s">
        <v>5893</v>
      </c>
      <c r="AU570">
        <v>2008</v>
      </c>
      <c r="AV570">
        <v>47</v>
      </c>
      <c r="AW570">
        <v>2</v>
      </c>
      <c r="AX570" t="s">
        <v>74</v>
      </c>
      <c r="AY570" t="s">
        <v>74</v>
      </c>
      <c r="AZ570" t="s">
        <v>74</v>
      </c>
      <c r="BA570" t="s">
        <v>74</v>
      </c>
      <c r="BB570">
        <v>832</v>
      </c>
      <c r="BC570">
        <v>840</v>
      </c>
      <c r="BD570" t="s">
        <v>74</v>
      </c>
      <c r="BE570" t="s">
        <v>6830</v>
      </c>
      <c r="BF570" t="str">
        <f>HYPERLINK("http://dx.doi.org/10.1016/j.ympev.2007.11.027","http://dx.doi.org/10.1016/j.ympev.2007.11.027")</f>
        <v>http://dx.doi.org/10.1016/j.ympev.2007.11.027</v>
      </c>
      <c r="BG570" t="s">
        <v>74</v>
      </c>
      <c r="BH570" t="s">
        <v>74</v>
      </c>
      <c r="BI570">
        <v>9</v>
      </c>
      <c r="BJ570" t="s">
        <v>5092</v>
      </c>
      <c r="BK570" t="s">
        <v>419</v>
      </c>
      <c r="BL570" t="s">
        <v>5092</v>
      </c>
      <c r="BM570" t="s">
        <v>6831</v>
      </c>
      <c r="BN570">
        <v>18249562</v>
      </c>
      <c r="BO570" t="s">
        <v>74</v>
      </c>
      <c r="BP570" t="s">
        <v>74</v>
      </c>
      <c r="BQ570" t="s">
        <v>74</v>
      </c>
      <c r="BR570" t="s">
        <v>101</v>
      </c>
      <c r="BS570" t="s">
        <v>6832</v>
      </c>
      <c r="BT570" t="str">
        <f>HYPERLINK("https%3A%2F%2Fwww.webofscience.com%2Fwos%2Fwoscc%2Ffull-record%2FWOS:000256110100025","View Full Record in Web of Science")</f>
        <v>View Full Record in Web of Science</v>
      </c>
    </row>
    <row r="571" spans="1:72" x14ac:dyDescent="0.15">
      <c r="A571" t="s">
        <v>72</v>
      </c>
      <c r="B571" t="s">
        <v>6833</v>
      </c>
      <c r="C571" t="s">
        <v>74</v>
      </c>
      <c r="D571" t="s">
        <v>74</v>
      </c>
      <c r="E571" t="s">
        <v>74</v>
      </c>
      <c r="F571" t="s">
        <v>6834</v>
      </c>
      <c r="G571" t="s">
        <v>74</v>
      </c>
      <c r="H571" t="s">
        <v>74</v>
      </c>
      <c r="I571" t="s">
        <v>6835</v>
      </c>
      <c r="J571" t="s">
        <v>6836</v>
      </c>
      <c r="K571" t="s">
        <v>74</v>
      </c>
      <c r="L571" t="s">
        <v>74</v>
      </c>
      <c r="M571" t="s">
        <v>78</v>
      </c>
      <c r="N571" t="s">
        <v>2737</v>
      </c>
      <c r="O571" t="s">
        <v>74</v>
      </c>
      <c r="P571" t="s">
        <v>74</v>
      </c>
      <c r="Q571" t="s">
        <v>74</v>
      </c>
      <c r="R571" t="s">
        <v>74</v>
      </c>
      <c r="S571" t="s">
        <v>74</v>
      </c>
      <c r="T571" t="s">
        <v>74</v>
      </c>
      <c r="U571" t="s">
        <v>6837</v>
      </c>
      <c r="V571" t="s">
        <v>6838</v>
      </c>
      <c r="W571" t="s">
        <v>6839</v>
      </c>
      <c r="X571" t="s">
        <v>6840</v>
      </c>
      <c r="Y571" t="s">
        <v>6841</v>
      </c>
      <c r="Z571" t="s">
        <v>6842</v>
      </c>
      <c r="AA571" t="s">
        <v>6843</v>
      </c>
      <c r="AB571" t="s">
        <v>6844</v>
      </c>
      <c r="AC571" t="s">
        <v>6845</v>
      </c>
      <c r="AD571" t="s">
        <v>6846</v>
      </c>
      <c r="AE571" t="s">
        <v>74</v>
      </c>
      <c r="AF571" t="s">
        <v>74</v>
      </c>
      <c r="AG571">
        <v>49</v>
      </c>
      <c r="AH571">
        <v>230</v>
      </c>
      <c r="AI571">
        <v>261</v>
      </c>
      <c r="AJ571">
        <v>6</v>
      </c>
      <c r="AK571">
        <v>88</v>
      </c>
      <c r="AL571" t="s">
        <v>3549</v>
      </c>
      <c r="AM571" t="s">
        <v>2747</v>
      </c>
      <c r="AN571" t="s">
        <v>6847</v>
      </c>
      <c r="AO571" t="s">
        <v>6848</v>
      </c>
      <c r="AP571" t="s">
        <v>6849</v>
      </c>
      <c r="AQ571" t="s">
        <v>74</v>
      </c>
      <c r="AR571" t="s">
        <v>6850</v>
      </c>
      <c r="AS571" t="s">
        <v>6851</v>
      </c>
      <c r="AT571" t="s">
        <v>5893</v>
      </c>
      <c r="AU571">
        <v>2008</v>
      </c>
      <c r="AV571">
        <v>1</v>
      </c>
      <c r="AW571">
        <v>5</v>
      </c>
      <c r="AX571" t="s">
        <v>74</v>
      </c>
      <c r="AY571" t="s">
        <v>74</v>
      </c>
      <c r="AZ571" t="s">
        <v>74</v>
      </c>
      <c r="BA571" t="s">
        <v>74</v>
      </c>
      <c r="BB571">
        <v>329</v>
      </c>
      <c r="BC571">
        <v>334</v>
      </c>
      <c r="BD571" t="s">
        <v>74</v>
      </c>
      <c r="BE571" t="s">
        <v>6852</v>
      </c>
      <c r="BF571" t="str">
        <f>HYPERLINK("http://dx.doi.org/10.1038/ngeo179","http://dx.doi.org/10.1038/ngeo179")</f>
        <v>http://dx.doi.org/10.1038/ngeo179</v>
      </c>
      <c r="BG571" t="s">
        <v>74</v>
      </c>
      <c r="BH571" t="s">
        <v>74</v>
      </c>
      <c r="BI571">
        <v>6</v>
      </c>
      <c r="BJ571" t="s">
        <v>3093</v>
      </c>
      <c r="BK571" t="s">
        <v>419</v>
      </c>
      <c r="BL571" t="s">
        <v>3094</v>
      </c>
      <c r="BM571" t="s">
        <v>6853</v>
      </c>
      <c r="BN571" t="s">
        <v>74</v>
      </c>
      <c r="BO571" t="s">
        <v>74</v>
      </c>
      <c r="BP571" t="s">
        <v>74</v>
      </c>
      <c r="BQ571" t="s">
        <v>74</v>
      </c>
      <c r="BR571" t="s">
        <v>101</v>
      </c>
      <c r="BS571" t="s">
        <v>6854</v>
      </c>
      <c r="BT571" t="str">
        <f>HYPERLINK("https%3A%2F%2Fwww.webofscience.com%2Fwos%2Fwoscc%2Ffull-record%2FWOS:000256433600018","View Full Record in Web of Science")</f>
        <v>View Full Record in Web of Science</v>
      </c>
    </row>
    <row r="572" spans="1:72" x14ac:dyDescent="0.15">
      <c r="A572" t="s">
        <v>72</v>
      </c>
      <c r="B572" t="s">
        <v>6855</v>
      </c>
      <c r="C572" t="s">
        <v>74</v>
      </c>
      <c r="D572" t="s">
        <v>74</v>
      </c>
      <c r="E572" t="s">
        <v>74</v>
      </c>
      <c r="F572" t="s">
        <v>6856</v>
      </c>
      <c r="G572" t="s">
        <v>74</v>
      </c>
      <c r="H572" t="s">
        <v>74</v>
      </c>
      <c r="I572" t="s">
        <v>6857</v>
      </c>
      <c r="J572" t="s">
        <v>6858</v>
      </c>
      <c r="K572" t="s">
        <v>74</v>
      </c>
      <c r="L572" t="s">
        <v>74</v>
      </c>
      <c r="M572" t="s">
        <v>78</v>
      </c>
      <c r="N572" t="s">
        <v>2737</v>
      </c>
      <c r="O572" t="s">
        <v>74</v>
      </c>
      <c r="P572" t="s">
        <v>74</v>
      </c>
      <c r="Q572" t="s">
        <v>74</v>
      </c>
      <c r="R572" t="s">
        <v>74</v>
      </c>
      <c r="S572" t="s">
        <v>74</v>
      </c>
      <c r="T572" t="s">
        <v>74</v>
      </c>
      <c r="U572" t="s">
        <v>6859</v>
      </c>
      <c r="V572" t="s">
        <v>6860</v>
      </c>
      <c r="W572" t="s">
        <v>6861</v>
      </c>
      <c r="X572" t="s">
        <v>6862</v>
      </c>
      <c r="Y572" t="s">
        <v>6863</v>
      </c>
      <c r="Z572" t="s">
        <v>6864</v>
      </c>
      <c r="AA572" t="s">
        <v>74</v>
      </c>
      <c r="AB572" t="s">
        <v>6865</v>
      </c>
      <c r="AC572" t="s">
        <v>74</v>
      </c>
      <c r="AD572" t="s">
        <v>74</v>
      </c>
      <c r="AE572" t="s">
        <v>74</v>
      </c>
      <c r="AF572" t="s">
        <v>74</v>
      </c>
      <c r="AG572">
        <v>37</v>
      </c>
      <c r="AH572">
        <v>29</v>
      </c>
      <c r="AI572">
        <v>29</v>
      </c>
      <c r="AJ572">
        <v>0</v>
      </c>
      <c r="AK572">
        <v>8</v>
      </c>
      <c r="AL572" t="s">
        <v>6866</v>
      </c>
      <c r="AM572" t="s">
        <v>2871</v>
      </c>
      <c r="AN572" t="s">
        <v>6867</v>
      </c>
      <c r="AO572" t="s">
        <v>6868</v>
      </c>
      <c r="AP572" t="s">
        <v>74</v>
      </c>
      <c r="AQ572" t="s">
        <v>74</v>
      </c>
      <c r="AR572" t="s">
        <v>6858</v>
      </c>
      <c r="AS572" t="s">
        <v>6869</v>
      </c>
      <c r="AT572" t="s">
        <v>5893</v>
      </c>
      <c r="AU572">
        <v>2008</v>
      </c>
      <c r="AV572">
        <v>86</v>
      </c>
      <c r="AW572" t="s">
        <v>3263</v>
      </c>
      <c r="AX572" t="s">
        <v>74</v>
      </c>
      <c r="AY572" t="s">
        <v>74</v>
      </c>
      <c r="AZ572" t="s">
        <v>74</v>
      </c>
      <c r="BA572" t="s">
        <v>74</v>
      </c>
      <c r="BB572">
        <v>497</v>
      </c>
      <c r="BC572">
        <v>506</v>
      </c>
      <c r="BD572" t="s">
        <v>74</v>
      </c>
      <c r="BE572" t="s">
        <v>6870</v>
      </c>
      <c r="BF572" t="str">
        <f>HYPERLINK("http://dx.doi.org/10.1127/0029-5035/2008/0086-0497","http://dx.doi.org/10.1127/0029-5035/2008/0086-0497")</f>
        <v>http://dx.doi.org/10.1127/0029-5035/2008/0086-0497</v>
      </c>
      <c r="BG572" t="s">
        <v>74</v>
      </c>
      <c r="BH572" t="s">
        <v>74</v>
      </c>
      <c r="BI572">
        <v>10</v>
      </c>
      <c r="BJ572" t="s">
        <v>2857</v>
      </c>
      <c r="BK572" t="s">
        <v>419</v>
      </c>
      <c r="BL572" t="s">
        <v>2857</v>
      </c>
      <c r="BM572" t="s">
        <v>6871</v>
      </c>
      <c r="BN572" t="s">
        <v>74</v>
      </c>
      <c r="BO572" t="s">
        <v>74</v>
      </c>
      <c r="BP572" t="s">
        <v>74</v>
      </c>
      <c r="BQ572" t="s">
        <v>74</v>
      </c>
      <c r="BR572" t="s">
        <v>101</v>
      </c>
      <c r="BS572" t="s">
        <v>6872</v>
      </c>
      <c r="BT572" t="str">
        <f>HYPERLINK("https%3A%2F%2Fwww.webofscience.com%2Fwos%2Fwoscc%2Ffull-record%2FWOS:000256810300008","View Full Record in Web of Science")</f>
        <v>View Full Record in Web of Science</v>
      </c>
    </row>
    <row r="573" spans="1:72" x14ac:dyDescent="0.15">
      <c r="A573" t="s">
        <v>72</v>
      </c>
      <c r="B573" t="s">
        <v>6873</v>
      </c>
      <c r="C573" t="s">
        <v>74</v>
      </c>
      <c r="D573" t="s">
        <v>74</v>
      </c>
      <c r="E573" t="s">
        <v>74</v>
      </c>
      <c r="F573" t="s">
        <v>6874</v>
      </c>
      <c r="G573" t="s">
        <v>74</v>
      </c>
      <c r="H573" t="s">
        <v>74</v>
      </c>
      <c r="I573" t="s">
        <v>6875</v>
      </c>
      <c r="J573" t="s">
        <v>6876</v>
      </c>
      <c r="K573" t="s">
        <v>74</v>
      </c>
      <c r="L573" t="s">
        <v>74</v>
      </c>
      <c r="M573" t="s">
        <v>78</v>
      </c>
      <c r="N573" t="s">
        <v>3318</v>
      </c>
      <c r="O573" t="s">
        <v>6877</v>
      </c>
      <c r="P573" t="s">
        <v>6878</v>
      </c>
      <c r="Q573" t="s">
        <v>6879</v>
      </c>
      <c r="R573" t="s">
        <v>74</v>
      </c>
      <c r="S573" t="s">
        <v>74</v>
      </c>
      <c r="T573" t="s">
        <v>6880</v>
      </c>
      <c r="U573" t="s">
        <v>6881</v>
      </c>
      <c r="V573" t="s">
        <v>6882</v>
      </c>
      <c r="W573" t="s">
        <v>6883</v>
      </c>
      <c r="X573" t="s">
        <v>6884</v>
      </c>
      <c r="Y573" t="s">
        <v>6885</v>
      </c>
      <c r="Z573" t="s">
        <v>6886</v>
      </c>
      <c r="AA573" t="s">
        <v>6887</v>
      </c>
      <c r="AB573" t="s">
        <v>6888</v>
      </c>
      <c r="AC573" t="s">
        <v>74</v>
      </c>
      <c r="AD573" t="s">
        <v>74</v>
      </c>
      <c r="AE573" t="s">
        <v>74</v>
      </c>
      <c r="AF573" t="s">
        <v>74</v>
      </c>
      <c r="AG573">
        <v>15</v>
      </c>
      <c r="AH573">
        <v>22</v>
      </c>
      <c r="AI573">
        <v>26</v>
      </c>
      <c r="AJ573">
        <v>0</v>
      </c>
      <c r="AK573">
        <v>11</v>
      </c>
      <c r="AL573" t="s">
        <v>3257</v>
      </c>
      <c r="AM573" t="s">
        <v>3258</v>
      </c>
      <c r="AN573" t="s">
        <v>3259</v>
      </c>
      <c r="AO573" t="s">
        <v>6889</v>
      </c>
      <c r="AP573" t="s">
        <v>6890</v>
      </c>
      <c r="AQ573" t="s">
        <v>74</v>
      </c>
      <c r="AR573" t="s">
        <v>6891</v>
      </c>
      <c r="AS573" t="s">
        <v>6892</v>
      </c>
      <c r="AT573" t="s">
        <v>5893</v>
      </c>
      <c r="AU573">
        <v>2008</v>
      </c>
      <c r="AV573">
        <v>266</v>
      </c>
      <c r="AW573">
        <v>10</v>
      </c>
      <c r="AX573" t="s">
        <v>74</v>
      </c>
      <c r="AY573" t="s">
        <v>74</v>
      </c>
      <c r="AZ573" t="s">
        <v>74</v>
      </c>
      <c r="BA573" t="s">
        <v>74</v>
      </c>
      <c r="BB573">
        <v>2396</v>
      </c>
      <c r="BC573">
        <v>2400</v>
      </c>
      <c r="BD573" t="s">
        <v>74</v>
      </c>
      <c r="BE573" t="s">
        <v>6893</v>
      </c>
      <c r="BF573" t="str">
        <f>HYPERLINK("http://dx.doi.org/10.1016/j.nimb.2008.03.029","http://dx.doi.org/10.1016/j.nimb.2008.03.029")</f>
        <v>http://dx.doi.org/10.1016/j.nimb.2008.03.029</v>
      </c>
      <c r="BG573" t="s">
        <v>74</v>
      </c>
      <c r="BH573" t="s">
        <v>74</v>
      </c>
      <c r="BI573">
        <v>5</v>
      </c>
      <c r="BJ573" t="s">
        <v>6894</v>
      </c>
      <c r="BK573" t="s">
        <v>99</v>
      </c>
      <c r="BL573" t="s">
        <v>6895</v>
      </c>
      <c r="BM573" t="s">
        <v>6896</v>
      </c>
      <c r="BN573" t="s">
        <v>74</v>
      </c>
      <c r="BO573" t="s">
        <v>3311</v>
      </c>
      <c r="BP573" t="s">
        <v>74</v>
      </c>
      <c r="BQ573" t="s">
        <v>74</v>
      </c>
      <c r="BR573" t="s">
        <v>101</v>
      </c>
      <c r="BS573" t="s">
        <v>6897</v>
      </c>
      <c r="BT573" t="str">
        <f>HYPERLINK("https%3A%2F%2Fwww.webofscience.com%2Fwos%2Fwoscc%2Ffull-record%2FWOS:000257185600068","View Full Record in Web of Science")</f>
        <v>View Full Record in Web of Science</v>
      </c>
    </row>
    <row r="574" spans="1:72" x14ac:dyDescent="0.15">
      <c r="A574" t="s">
        <v>72</v>
      </c>
      <c r="B574" t="s">
        <v>6898</v>
      </c>
      <c r="C574" t="s">
        <v>74</v>
      </c>
      <c r="D574" t="s">
        <v>74</v>
      </c>
      <c r="E574" t="s">
        <v>74</v>
      </c>
      <c r="F574" t="s">
        <v>6899</v>
      </c>
      <c r="G574" t="s">
        <v>74</v>
      </c>
      <c r="H574" t="s">
        <v>74</v>
      </c>
      <c r="I574" t="s">
        <v>6900</v>
      </c>
      <c r="J574" t="s">
        <v>2883</v>
      </c>
      <c r="K574" t="s">
        <v>74</v>
      </c>
      <c r="L574" t="s">
        <v>74</v>
      </c>
      <c r="M574" t="s">
        <v>78</v>
      </c>
      <c r="N574" t="s">
        <v>2737</v>
      </c>
      <c r="O574" t="s">
        <v>74</v>
      </c>
      <c r="P574" t="s">
        <v>74</v>
      </c>
      <c r="Q574" t="s">
        <v>74</v>
      </c>
      <c r="R574" t="s">
        <v>74</v>
      </c>
      <c r="S574" t="s">
        <v>74</v>
      </c>
      <c r="T574" t="s">
        <v>6901</v>
      </c>
      <c r="U574" t="s">
        <v>6902</v>
      </c>
      <c r="V574" t="s">
        <v>6903</v>
      </c>
      <c r="W574" t="s">
        <v>6904</v>
      </c>
      <c r="X574" t="s">
        <v>2786</v>
      </c>
      <c r="Y574" t="s">
        <v>6905</v>
      </c>
      <c r="Z574" t="s">
        <v>2788</v>
      </c>
      <c r="AA574" t="s">
        <v>6906</v>
      </c>
      <c r="AB574" t="s">
        <v>74</v>
      </c>
      <c r="AC574" t="s">
        <v>4242</v>
      </c>
      <c r="AD574" t="s">
        <v>3031</v>
      </c>
      <c r="AE574" t="s">
        <v>74</v>
      </c>
      <c r="AF574" t="s">
        <v>74</v>
      </c>
      <c r="AG574">
        <v>24</v>
      </c>
      <c r="AH574">
        <v>5</v>
      </c>
      <c r="AI574">
        <v>5</v>
      </c>
      <c r="AJ574">
        <v>0</v>
      </c>
      <c r="AK574">
        <v>6</v>
      </c>
      <c r="AL574" t="s">
        <v>2746</v>
      </c>
      <c r="AM574" t="s">
        <v>2747</v>
      </c>
      <c r="AN574" t="s">
        <v>2748</v>
      </c>
      <c r="AO574" t="s">
        <v>2891</v>
      </c>
      <c r="AP574" t="s">
        <v>2925</v>
      </c>
      <c r="AQ574" t="s">
        <v>74</v>
      </c>
      <c r="AR574" t="s">
        <v>2892</v>
      </c>
      <c r="AS574" t="s">
        <v>2893</v>
      </c>
      <c r="AT574" t="s">
        <v>5893</v>
      </c>
      <c r="AU574">
        <v>2008</v>
      </c>
      <c r="AV574">
        <v>31</v>
      </c>
      <c r="AW574">
        <v>6</v>
      </c>
      <c r="AX574" t="s">
        <v>74</v>
      </c>
      <c r="AY574" t="s">
        <v>74</v>
      </c>
      <c r="AZ574" t="s">
        <v>74</v>
      </c>
      <c r="BA574" t="s">
        <v>74</v>
      </c>
      <c r="BB574">
        <v>657</v>
      </c>
      <c r="BC574">
        <v>661</v>
      </c>
      <c r="BD574" t="s">
        <v>74</v>
      </c>
      <c r="BE574" t="s">
        <v>6907</v>
      </c>
      <c r="BF574" t="str">
        <f>HYPERLINK("http://dx.doi.org/10.1007/s00300-007-0403-y","http://dx.doi.org/10.1007/s00300-007-0403-y")</f>
        <v>http://dx.doi.org/10.1007/s00300-007-0403-y</v>
      </c>
      <c r="BG574" t="s">
        <v>74</v>
      </c>
      <c r="BH574" t="s">
        <v>74</v>
      </c>
      <c r="BI574">
        <v>5</v>
      </c>
      <c r="BJ574" t="s">
        <v>2895</v>
      </c>
      <c r="BK574" t="s">
        <v>419</v>
      </c>
      <c r="BL574" t="s">
        <v>2896</v>
      </c>
      <c r="BM574" t="s">
        <v>6908</v>
      </c>
      <c r="BN574" t="s">
        <v>74</v>
      </c>
      <c r="BO574" t="s">
        <v>74</v>
      </c>
      <c r="BP574" t="s">
        <v>74</v>
      </c>
      <c r="BQ574" t="s">
        <v>74</v>
      </c>
      <c r="BR574" t="s">
        <v>101</v>
      </c>
      <c r="BS574" t="s">
        <v>6909</v>
      </c>
      <c r="BT574" t="str">
        <f>HYPERLINK("https%3A%2F%2Fwww.webofscience.com%2Fwos%2Fwoscc%2Ffull-record%2FWOS:000255059200001","View Full Record in Web of Science")</f>
        <v>View Full Record in Web of Science</v>
      </c>
    </row>
    <row r="575" spans="1:72" x14ac:dyDescent="0.15">
      <c r="A575" t="s">
        <v>72</v>
      </c>
      <c r="B575" t="s">
        <v>6910</v>
      </c>
      <c r="C575" t="s">
        <v>74</v>
      </c>
      <c r="D575" t="s">
        <v>74</v>
      </c>
      <c r="E575" t="s">
        <v>74</v>
      </c>
      <c r="F575" t="s">
        <v>6911</v>
      </c>
      <c r="G575" t="s">
        <v>74</v>
      </c>
      <c r="H575" t="s">
        <v>74</v>
      </c>
      <c r="I575" t="s">
        <v>6912</v>
      </c>
      <c r="J575" t="s">
        <v>2883</v>
      </c>
      <c r="K575" t="s">
        <v>74</v>
      </c>
      <c r="L575" t="s">
        <v>74</v>
      </c>
      <c r="M575" t="s">
        <v>78</v>
      </c>
      <c r="N575" t="s">
        <v>2737</v>
      </c>
      <c r="O575" t="s">
        <v>74</v>
      </c>
      <c r="P575" t="s">
        <v>74</v>
      </c>
      <c r="Q575" t="s">
        <v>74</v>
      </c>
      <c r="R575" t="s">
        <v>74</v>
      </c>
      <c r="S575" t="s">
        <v>74</v>
      </c>
      <c r="T575" t="s">
        <v>6913</v>
      </c>
      <c r="U575" t="s">
        <v>6914</v>
      </c>
      <c r="V575" t="s">
        <v>6915</v>
      </c>
      <c r="W575" t="s">
        <v>6916</v>
      </c>
      <c r="X575" t="s">
        <v>6917</v>
      </c>
      <c r="Y575" t="s">
        <v>6918</v>
      </c>
      <c r="Z575" t="s">
        <v>6919</v>
      </c>
      <c r="AA575" t="s">
        <v>6227</v>
      </c>
      <c r="AB575" t="s">
        <v>6228</v>
      </c>
      <c r="AC575" t="s">
        <v>74</v>
      </c>
      <c r="AD575" t="s">
        <v>74</v>
      </c>
      <c r="AE575" t="s">
        <v>74</v>
      </c>
      <c r="AF575" t="s">
        <v>74</v>
      </c>
      <c r="AG575">
        <v>44</v>
      </c>
      <c r="AH575">
        <v>19</v>
      </c>
      <c r="AI575">
        <v>21</v>
      </c>
      <c r="AJ575">
        <v>0</v>
      </c>
      <c r="AK575">
        <v>18</v>
      </c>
      <c r="AL575" t="s">
        <v>2746</v>
      </c>
      <c r="AM575" t="s">
        <v>2747</v>
      </c>
      <c r="AN575" t="s">
        <v>2748</v>
      </c>
      <c r="AO575" t="s">
        <v>2891</v>
      </c>
      <c r="AP575" t="s">
        <v>2925</v>
      </c>
      <c r="AQ575" t="s">
        <v>74</v>
      </c>
      <c r="AR575" t="s">
        <v>2892</v>
      </c>
      <c r="AS575" t="s">
        <v>2893</v>
      </c>
      <c r="AT575" t="s">
        <v>5893</v>
      </c>
      <c r="AU575">
        <v>2008</v>
      </c>
      <c r="AV575">
        <v>31</v>
      </c>
      <c r="AW575">
        <v>6</v>
      </c>
      <c r="AX575" t="s">
        <v>74</v>
      </c>
      <c r="AY575" t="s">
        <v>74</v>
      </c>
      <c r="AZ575" t="s">
        <v>74</v>
      </c>
      <c r="BA575" t="s">
        <v>74</v>
      </c>
      <c r="BB575">
        <v>681</v>
      </c>
      <c r="BC575">
        <v>689</v>
      </c>
      <c r="BD575" t="s">
        <v>74</v>
      </c>
      <c r="BE575" t="s">
        <v>6920</v>
      </c>
      <c r="BF575" t="str">
        <f>HYPERLINK("http://dx.doi.org/10.1007/s00300-008-0406-3","http://dx.doi.org/10.1007/s00300-008-0406-3")</f>
        <v>http://dx.doi.org/10.1007/s00300-008-0406-3</v>
      </c>
      <c r="BG575" t="s">
        <v>74</v>
      </c>
      <c r="BH575" t="s">
        <v>74</v>
      </c>
      <c r="BI575">
        <v>9</v>
      </c>
      <c r="BJ575" t="s">
        <v>2895</v>
      </c>
      <c r="BK575" t="s">
        <v>419</v>
      </c>
      <c r="BL575" t="s">
        <v>2896</v>
      </c>
      <c r="BM575" t="s">
        <v>6908</v>
      </c>
      <c r="BN575" t="s">
        <v>74</v>
      </c>
      <c r="BO575" t="s">
        <v>74</v>
      </c>
      <c r="BP575" t="s">
        <v>74</v>
      </c>
      <c r="BQ575" t="s">
        <v>74</v>
      </c>
      <c r="BR575" t="s">
        <v>101</v>
      </c>
      <c r="BS575" t="s">
        <v>6921</v>
      </c>
      <c r="BT575" t="str">
        <f>HYPERLINK("https%3A%2F%2Fwww.webofscience.com%2Fwos%2Fwoscc%2Ffull-record%2FWOS:000255059200004","View Full Record in Web of Science")</f>
        <v>View Full Record in Web of Science</v>
      </c>
    </row>
    <row r="576" spans="1:72" x14ac:dyDescent="0.15">
      <c r="A576" t="s">
        <v>72</v>
      </c>
      <c r="B576" t="s">
        <v>6922</v>
      </c>
      <c r="C576" t="s">
        <v>74</v>
      </c>
      <c r="D576" t="s">
        <v>74</v>
      </c>
      <c r="E576" t="s">
        <v>74</v>
      </c>
      <c r="F576" t="s">
        <v>6923</v>
      </c>
      <c r="G576" t="s">
        <v>74</v>
      </c>
      <c r="H576" t="s">
        <v>74</v>
      </c>
      <c r="I576" t="s">
        <v>6924</v>
      </c>
      <c r="J576" t="s">
        <v>2883</v>
      </c>
      <c r="K576" t="s">
        <v>74</v>
      </c>
      <c r="L576" t="s">
        <v>74</v>
      </c>
      <c r="M576" t="s">
        <v>78</v>
      </c>
      <c r="N576" t="s">
        <v>2737</v>
      </c>
      <c r="O576" t="s">
        <v>74</v>
      </c>
      <c r="P576" t="s">
        <v>74</v>
      </c>
      <c r="Q576" t="s">
        <v>74</v>
      </c>
      <c r="R576" t="s">
        <v>74</v>
      </c>
      <c r="S576" t="s">
        <v>74</v>
      </c>
      <c r="T576" t="s">
        <v>6925</v>
      </c>
      <c r="U576" t="s">
        <v>6926</v>
      </c>
      <c r="V576" t="s">
        <v>6927</v>
      </c>
      <c r="W576" t="s">
        <v>6928</v>
      </c>
      <c r="X576" t="s">
        <v>6929</v>
      </c>
      <c r="Y576" t="s">
        <v>6930</v>
      </c>
      <c r="Z576" t="s">
        <v>6931</v>
      </c>
      <c r="AA576" t="s">
        <v>6932</v>
      </c>
      <c r="AB576" t="s">
        <v>6933</v>
      </c>
      <c r="AC576" t="s">
        <v>74</v>
      </c>
      <c r="AD576" t="s">
        <v>74</v>
      </c>
      <c r="AE576" t="s">
        <v>74</v>
      </c>
      <c r="AF576" t="s">
        <v>74</v>
      </c>
      <c r="AG576">
        <v>48</v>
      </c>
      <c r="AH576">
        <v>14</v>
      </c>
      <c r="AI576">
        <v>17</v>
      </c>
      <c r="AJ576">
        <v>2</v>
      </c>
      <c r="AK576">
        <v>15</v>
      </c>
      <c r="AL576" t="s">
        <v>2746</v>
      </c>
      <c r="AM576" t="s">
        <v>2747</v>
      </c>
      <c r="AN576" t="s">
        <v>6934</v>
      </c>
      <c r="AO576" t="s">
        <v>2891</v>
      </c>
      <c r="AP576" t="s">
        <v>74</v>
      </c>
      <c r="AQ576" t="s">
        <v>74</v>
      </c>
      <c r="AR576" t="s">
        <v>2892</v>
      </c>
      <c r="AS576" t="s">
        <v>2893</v>
      </c>
      <c r="AT576" t="s">
        <v>5893</v>
      </c>
      <c r="AU576">
        <v>2008</v>
      </c>
      <c r="AV576">
        <v>31</v>
      </c>
      <c r="AW576">
        <v>6</v>
      </c>
      <c r="AX576" t="s">
        <v>74</v>
      </c>
      <c r="AY576" t="s">
        <v>74</v>
      </c>
      <c r="AZ576" t="s">
        <v>74</v>
      </c>
      <c r="BA576" t="s">
        <v>74</v>
      </c>
      <c r="BB576">
        <v>691</v>
      </c>
      <c r="BC576">
        <v>707</v>
      </c>
      <c r="BD576" t="s">
        <v>74</v>
      </c>
      <c r="BE576" t="s">
        <v>6935</v>
      </c>
      <c r="BF576" t="str">
        <f>HYPERLINK("http://dx.doi.org/10.1007/s00300-008-0408-1","http://dx.doi.org/10.1007/s00300-008-0408-1")</f>
        <v>http://dx.doi.org/10.1007/s00300-008-0408-1</v>
      </c>
      <c r="BG576" t="s">
        <v>74</v>
      </c>
      <c r="BH576" t="s">
        <v>74</v>
      </c>
      <c r="BI576">
        <v>17</v>
      </c>
      <c r="BJ576" t="s">
        <v>2895</v>
      </c>
      <c r="BK576" t="s">
        <v>419</v>
      </c>
      <c r="BL576" t="s">
        <v>2896</v>
      </c>
      <c r="BM576" t="s">
        <v>6908</v>
      </c>
      <c r="BN576" t="s">
        <v>74</v>
      </c>
      <c r="BO576" t="s">
        <v>74</v>
      </c>
      <c r="BP576" t="s">
        <v>74</v>
      </c>
      <c r="BQ576" t="s">
        <v>74</v>
      </c>
      <c r="BR576" t="s">
        <v>101</v>
      </c>
      <c r="BS576" t="s">
        <v>6936</v>
      </c>
      <c r="BT576" t="str">
        <f>HYPERLINK("https%3A%2F%2Fwww.webofscience.com%2Fwos%2Fwoscc%2Ffull-record%2FWOS:000255059200005","View Full Record in Web of Science")</f>
        <v>View Full Record in Web of Science</v>
      </c>
    </row>
    <row r="577" spans="1:72" x14ac:dyDescent="0.15">
      <c r="A577" t="s">
        <v>72</v>
      </c>
      <c r="B577" t="s">
        <v>6937</v>
      </c>
      <c r="C577" t="s">
        <v>74</v>
      </c>
      <c r="D577" t="s">
        <v>74</v>
      </c>
      <c r="E577" t="s">
        <v>74</v>
      </c>
      <c r="F577" t="s">
        <v>6938</v>
      </c>
      <c r="G577" t="s">
        <v>74</v>
      </c>
      <c r="H577" t="s">
        <v>74</v>
      </c>
      <c r="I577" t="s">
        <v>6939</v>
      </c>
      <c r="J577" t="s">
        <v>2883</v>
      </c>
      <c r="K577" t="s">
        <v>74</v>
      </c>
      <c r="L577" t="s">
        <v>74</v>
      </c>
      <c r="M577" t="s">
        <v>78</v>
      </c>
      <c r="N577" t="s">
        <v>2737</v>
      </c>
      <c r="O577" t="s">
        <v>74</v>
      </c>
      <c r="P577" t="s">
        <v>74</v>
      </c>
      <c r="Q577" t="s">
        <v>74</v>
      </c>
      <c r="R577" t="s">
        <v>74</v>
      </c>
      <c r="S577" t="s">
        <v>74</v>
      </c>
      <c r="T577" t="s">
        <v>6940</v>
      </c>
      <c r="U577" t="s">
        <v>6941</v>
      </c>
      <c r="V577" t="s">
        <v>6942</v>
      </c>
      <c r="W577" t="s">
        <v>6943</v>
      </c>
      <c r="X577" t="s">
        <v>6944</v>
      </c>
      <c r="Y577" t="s">
        <v>6945</v>
      </c>
      <c r="Z577" t="s">
        <v>6946</v>
      </c>
      <c r="AA577" t="s">
        <v>74</v>
      </c>
      <c r="AB577" t="s">
        <v>74</v>
      </c>
      <c r="AC577" t="s">
        <v>74</v>
      </c>
      <c r="AD577" t="s">
        <v>74</v>
      </c>
      <c r="AE577" t="s">
        <v>74</v>
      </c>
      <c r="AF577" t="s">
        <v>74</v>
      </c>
      <c r="AG577">
        <v>39</v>
      </c>
      <c r="AH577">
        <v>1</v>
      </c>
      <c r="AI577">
        <v>1</v>
      </c>
      <c r="AJ577">
        <v>0</v>
      </c>
      <c r="AK577">
        <v>11</v>
      </c>
      <c r="AL577" t="s">
        <v>2746</v>
      </c>
      <c r="AM577" t="s">
        <v>2747</v>
      </c>
      <c r="AN577" t="s">
        <v>6934</v>
      </c>
      <c r="AO577" t="s">
        <v>2891</v>
      </c>
      <c r="AP577" t="s">
        <v>74</v>
      </c>
      <c r="AQ577" t="s">
        <v>74</v>
      </c>
      <c r="AR577" t="s">
        <v>2892</v>
      </c>
      <c r="AS577" t="s">
        <v>2893</v>
      </c>
      <c r="AT577" t="s">
        <v>5893</v>
      </c>
      <c r="AU577">
        <v>2008</v>
      </c>
      <c r="AV577">
        <v>31</v>
      </c>
      <c r="AW577">
        <v>6</v>
      </c>
      <c r="AX577" t="s">
        <v>74</v>
      </c>
      <c r="AY577" t="s">
        <v>74</v>
      </c>
      <c r="AZ577" t="s">
        <v>74</v>
      </c>
      <c r="BA577" t="s">
        <v>74</v>
      </c>
      <c r="BB577">
        <v>709</v>
      </c>
      <c r="BC577">
        <v>715</v>
      </c>
      <c r="BD577" t="s">
        <v>74</v>
      </c>
      <c r="BE577" t="s">
        <v>6947</v>
      </c>
      <c r="BF577" t="str">
        <f>HYPERLINK("http://dx.doi.org/10.1007/s00300-008-0409-0","http://dx.doi.org/10.1007/s00300-008-0409-0")</f>
        <v>http://dx.doi.org/10.1007/s00300-008-0409-0</v>
      </c>
      <c r="BG577" t="s">
        <v>74</v>
      </c>
      <c r="BH577" t="s">
        <v>74</v>
      </c>
      <c r="BI577">
        <v>7</v>
      </c>
      <c r="BJ577" t="s">
        <v>2895</v>
      </c>
      <c r="BK577" t="s">
        <v>419</v>
      </c>
      <c r="BL577" t="s">
        <v>2896</v>
      </c>
      <c r="BM577" t="s">
        <v>6908</v>
      </c>
      <c r="BN577" t="s">
        <v>74</v>
      </c>
      <c r="BO577" t="s">
        <v>74</v>
      </c>
      <c r="BP577" t="s">
        <v>74</v>
      </c>
      <c r="BQ577" t="s">
        <v>74</v>
      </c>
      <c r="BR577" t="s">
        <v>101</v>
      </c>
      <c r="BS577" t="s">
        <v>6948</v>
      </c>
      <c r="BT577" t="str">
        <f>HYPERLINK("https%3A%2F%2Fwww.webofscience.com%2Fwos%2Fwoscc%2Ffull-record%2FWOS:000255059200006","View Full Record in Web of Science")</f>
        <v>View Full Record in Web of Science</v>
      </c>
    </row>
    <row r="578" spans="1:72" x14ac:dyDescent="0.15">
      <c r="A578" t="s">
        <v>72</v>
      </c>
      <c r="B578" t="s">
        <v>6949</v>
      </c>
      <c r="C578" t="s">
        <v>74</v>
      </c>
      <c r="D578" t="s">
        <v>74</v>
      </c>
      <c r="E578" t="s">
        <v>74</v>
      </c>
      <c r="F578" t="s">
        <v>6950</v>
      </c>
      <c r="G578" t="s">
        <v>74</v>
      </c>
      <c r="H578" t="s">
        <v>74</v>
      </c>
      <c r="I578" t="s">
        <v>6951</v>
      </c>
      <c r="J578" t="s">
        <v>2883</v>
      </c>
      <c r="K578" t="s">
        <v>74</v>
      </c>
      <c r="L578" t="s">
        <v>74</v>
      </c>
      <c r="M578" t="s">
        <v>78</v>
      </c>
      <c r="N578" t="s">
        <v>2737</v>
      </c>
      <c r="O578" t="s">
        <v>74</v>
      </c>
      <c r="P578" t="s">
        <v>74</v>
      </c>
      <c r="Q578" t="s">
        <v>74</v>
      </c>
      <c r="R578" t="s">
        <v>74</v>
      </c>
      <c r="S578" t="s">
        <v>74</v>
      </c>
      <c r="T578" t="s">
        <v>6952</v>
      </c>
      <c r="U578" t="s">
        <v>6953</v>
      </c>
      <c r="V578" t="s">
        <v>6954</v>
      </c>
      <c r="W578" t="s">
        <v>6955</v>
      </c>
      <c r="X578" t="s">
        <v>6956</v>
      </c>
      <c r="Y578" t="s">
        <v>6957</v>
      </c>
      <c r="Z578" t="s">
        <v>6958</v>
      </c>
      <c r="AA578" t="s">
        <v>74</v>
      </c>
      <c r="AB578" t="s">
        <v>6959</v>
      </c>
      <c r="AC578" t="s">
        <v>74</v>
      </c>
      <c r="AD578" t="s">
        <v>74</v>
      </c>
      <c r="AE578" t="s">
        <v>74</v>
      </c>
      <c r="AF578" t="s">
        <v>74</v>
      </c>
      <c r="AG578">
        <v>15</v>
      </c>
      <c r="AH578">
        <v>2</v>
      </c>
      <c r="AI578">
        <v>2</v>
      </c>
      <c r="AJ578">
        <v>0</v>
      </c>
      <c r="AK578">
        <v>5</v>
      </c>
      <c r="AL578" t="s">
        <v>2746</v>
      </c>
      <c r="AM578" t="s">
        <v>2747</v>
      </c>
      <c r="AN578" t="s">
        <v>2748</v>
      </c>
      <c r="AO578" t="s">
        <v>2891</v>
      </c>
      <c r="AP578" t="s">
        <v>2925</v>
      </c>
      <c r="AQ578" t="s">
        <v>74</v>
      </c>
      <c r="AR578" t="s">
        <v>2892</v>
      </c>
      <c r="AS578" t="s">
        <v>2893</v>
      </c>
      <c r="AT578" t="s">
        <v>5893</v>
      </c>
      <c r="AU578">
        <v>2008</v>
      </c>
      <c r="AV578">
        <v>31</v>
      </c>
      <c r="AW578">
        <v>6</v>
      </c>
      <c r="AX578" t="s">
        <v>74</v>
      </c>
      <c r="AY578" t="s">
        <v>74</v>
      </c>
      <c r="AZ578" t="s">
        <v>74</v>
      </c>
      <c r="BA578" t="s">
        <v>74</v>
      </c>
      <c r="BB578">
        <v>717</v>
      </c>
      <c r="BC578">
        <v>724</v>
      </c>
      <c r="BD578" t="s">
        <v>74</v>
      </c>
      <c r="BE578" t="s">
        <v>6960</v>
      </c>
      <c r="BF578" t="str">
        <f>HYPERLINK("http://dx.doi.org/10.1007/s00300-008-0411-6","http://dx.doi.org/10.1007/s00300-008-0411-6")</f>
        <v>http://dx.doi.org/10.1007/s00300-008-0411-6</v>
      </c>
      <c r="BG578" t="s">
        <v>74</v>
      </c>
      <c r="BH578" t="s">
        <v>74</v>
      </c>
      <c r="BI578">
        <v>8</v>
      </c>
      <c r="BJ578" t="s">
        <v>2895</v>
      </c>
      <c r="BK578" t="s">
        <v>419</v>
      </c>
      <c r="BL578" t="s">
        <v>2896</v>
      </c>
      <c r="BM578" t="s">
        <v>6908</v>
      </c>
      <c r="BN578" t="s">
        <v>74</v>
      </c>
      <c r="BO578" t="s">
        <v>74</v>
      </c>
      <c r="BP578" t="s">
        <v>74</v>
      </c>
      <c r="BQ578" t="s">
        <v>74</v>
      </c>
      <c r="BR578" t="s">
        <v>101</v>
      </c>
      <c r="BS578" t="s">
        <v>6961</v>
      </c>
      <c r="BT578" t="str">
        <f>HYPERLINK("https%3A%2F%2Fwww.webofscience.com%2Fwos%2Fwoscc%2Ffull-record%2FWOS:000255059200007","View Full Record in Web of Science")</f>
        <v>View Full Record in Web of Science</v>
      </c>
    </row>
    <row r="579" spans="1:72" x14ac:dyDescent="0.15">
      <c r="A579" t="s">
        <v>72</v>
      </c>
      <c r="B579" t="s">
        <v>6962</v>
      </c>
      <c r="C579" t="s">
        <v>74</v>
      </c>
      <c r="D579" t="s">
        <v>74</v>
      </c>
      <c r="E579" t="s">
        <v>74</v>
      </c>
      <c r="F579" t="s">
        <v>6963</v>
      </c>
      <c r="G579" t="s">
        <v>74</v>
      </c>
      <c r="H579" t="s">
        <v>74</v>
      </c>
      <c r="I579" t="s">
        <v>6964</v>
      </c>
      <c r="J579" t="s">
        <v>2883</v>
      </c>
      <c r="K579" t="s">
        <v>74</v>
      </c>
      <c r="L579" t="s">
        <v>74</v>
      </c>
      <c r="M579" t="s">
        <v>78</v>
      </c>
      <c r="N579" t="s">
        <v>2737</v>
      </c>
      <c r="O579" t="s">
        <v>74</v>
      </c>
      <c r="P579" t="s">
        <v>74</v>
      </c>
      <c r="Q579" t="s">
        <v>74</v>
      </c>
      <c r="R579" t="s">
        <v>74</v>
      </c>
      <c r="S579" t="s">
        <v>74</v>
      </c>
      <c r="T579" t="s">
        <v>6965</v>
      </c>
      <c r="U579" t="s">
        <v>6966</v>
      </c>
      <c r="V579" t="s">
        <v>6967</v>
      </c>
      <c r="W579" t="s">
        <v>6968</v>
      </c>
      <c r="X579" t="s">
        <v>6969</v>
      </c>
      <c r="Y579" t="s">
        <v>6970</v>
      </c>
      <c r="Z579" t="s">
        <v>6971</v>
      </c>
      <c r="AA579" t="s">
        <v>6972</v>
      </c>
      <c r="AB579" t="s">
        <v>6973</v>
      </c>
      <c r="AC579" t="s">
        <v>74</v>
      </c>
      <c r="AD579" t="s">
        <v>74</v>
      </c>
      <c r="AE579" t="s">
        <v>74</v>
      </c>
      <c r="AF579" t="s">
        <v>74</v>
      </c>
      <c r="AG579">
        <v>27</v>
      </c>
      <c r="AH579">
        <v>30</v>
      </c>
      <c r="AI579">
        <v>30</v>
      </c>
      <c r="AJ579">
        <v>0</v>
      </c>
      <c r="AK579">
        <v>23</v>
      </c>
      <c r="AL579" t="s">
        <v>2746</v>
      </c>
      <c r="AM579" t="s">
        <v>2747</v>
      </c>
      <c r="AN579" t="s">
        <v>2748</v>
      </c>
      <c r="AO579" t="s">
        <v>2891</v>
      </c>
      <c r="AP579" t="s">
        <v>2925</v>
      </c>
      <c r="AQ579" t="s">
        <v>74</v>
      </c>
      <c r="AR579" t="s">
        <v>2892</v>
      </c>
      <c r="AS579" t="s">
        <v>2893</v>
      </c>
      <c r="AT579" t="s">
        <v>5893</v>
      </c>
      <c r="AU579">
        <v>2008</v>
      </c>
      <c r="AV579">
        <v>31</v>
      </c>
      <c r="AW579">
        <v>6</v>
      </c>
      <c r="AX579" t="s">
        <v>74</v>
      </c>
      <c r="AY579" t="s">
        <v>74</v>
      </c>
      <c r="AZ579" t="s">
        <v>74</v>
      </c>
      <c r="BA579" t="s">
        <v>74</v>
      </c>
      <c r="BB579">
        <v>735</v>
      </c>
      <c r="BC579">
        <v>743</v>
      </c>
      <c r="BD579" t="s">
        <v>74</v>
      </c>
      <c r="BE579" t="s">
        <v>6974</v>
      </c>
      <c r="BF579" t="str">
        <f>HYPERLINK("http://dx.doi.org/10.1007/s00300-008-0414-3","http://dx.doi.org/10.1007/s00300-008-0414-3")</f>
        <v>http://dx.doi.org/10.1007/s00300-008-0414-3</v>
      </c>
      <c r="BG579" t="s">
        <v>74</v>
      </c>
      <c r="BH579" t="s">
        <v>74</v>
      </c>
      <c r="BI579">
        <v>9</v>
      </c>
      <c r="BJ579" t="s">
        <v>2895</v>
      </c>
      <c r="BK579" t="s">
        <v>419</v>
      </c>
      <c r="BL579" t="s">
        <v>2896</v>
      </c>
      <c r="BM579" t="s">
        <v>6908</v>
      </c>
      <c r="BN579" t="s">
        <v>74</v>
      </c>
      <c r="BO579" t="s">
        <v>3110</v>
      </c>
      <c r="BP579" t="s">
        <v>74</v>
      </c>
      <c r="BQ579" t="s">
        <v>74</v>
      </c>
      <c r="BR579" t="s">
        <v>101</v>
      </c>
      <c r="BS579" t="s">
        <v>6975</v>
      </c>
      <c r="BT579" t="str">
        <f>HYPERLINK("https%3A%2F%2Fwww.webofscience.com%2Fwos%2Fwoscc%2Ffull-record%2FWOS:000255059200009","View Full Record in Web of Science")</f>
        <v>View Full Record in Web of Science</v>
      </c>
    </row>
    <row r="580" spans="1:72" x14ac:dyDescent="0.15">
      <c r="A580" t="s">
        <v>72</v>
      </c>
      <c r="B580" t="s">
        <v>6976</v>
      </c>
      <c r="C580" t="s">
        <v>74</v>
      </c>
      <c r="D580" t="s">
        <v>74</v>
      </c>
      <c r="E580" t="s">
        <v>74</v>
      </c>
      <c r="F580" t="s">
        <v>6977</v>
      </c>
      <c r="G580" t="s">
        <v>74</v>
      </c>
      <c r="H580" t="s">
        <v>74</v>
      </c>
      <c r="I580" t="s">
        <v>6978</v>
      </c>
      <c r="J580" t="s">
        <v>2883</v>
      </c>
      <c r="K580" t="s">
        <v>74</v>
      </c>
      <c r="L580" t="s">
        <v>74</v>
      </c>
      <c r="M580" t="s">
        <v>78</v>
      </c>
      <c r="N580" t="s">
        <v>2737</v>
      </c>
      <c r="O580" t="s">
        <v>74</v>
      </c>
      <c r="P580" t="s">
        <v>74</v>
      </c>
      <c r="Q580" t="s">
        <v>74</v>
      </c>
      <c r="R580" t="s">
        <v>74</v>
      </c>
      <c r="S580" t="s">
        <v>74</v>
      </c>
      <c r="T580" t="s">
        <v>6979</v>
      </c>
      <c r="U580" t="s">
        <v>6980</v>
      </c>
      <c r="V580" t="s">
        <v>6981</v>
      </c>
      <c r="W580" t="s">
        <v>6982</v>
      </c>
      <c r="X580" t="s">
        <v>6983</v>
      </c>
      <c r="Y580" t="s">
        <v>6984</v>
      </c>
      <c r="Z580" t="s">
        <v>6985</v>
      </c>
      <c r="AA580" t="s">
        <v>6986</v>
      </c>
      <c r="AB580" t="s">
        <v>6987</v>
      </c>
      <c r="AC580" t="s">
        <v>74</v>
      </c>
      <c r="AD580" t="s">
        <v>74</v>
      </c>
      <c r="AE580" t="s">
        <v>74</v>
      </c>
      <c r="AF580" t="s">
        <v>74</v>
      </c>
      <c r="AG580">
        <v>33</v>
      </c>
      <c r="AH580">
        <v>22</v>
      </c>
      <c r="AI580">
        <v>28</v>
      </c>
      <c r="AJ580">
        <v>1</v>
      </c>
      <c r="AK580">
        <v>19</v>
      </c>
      <c r="AL580" t="s">
        <v>2746</v>
      </c>
      <c r="AM580" t="s">
        <v>2747</v>
      </c>
      <c r="AN580" t="s">
        <v>6934</v>
      </c>
      <c r="AO580" t="s">
        <v>2891</v>
      </c>
      <c r="AP580" t="s">
        <v>74</v>
      </c>
      <c r="AQ580" t="s">
        <v>74</v>
      </c>
      <c r="AR580" t="s">
        <v>2892</v>
      </c>
      <c r="AS580" t="s">
        <v>2893</v>
      </c>
      <c r="AT580" t="s">
        <v>5893</v>
      </c>
      <c r="AU580">
        <v>2008</v>
      </c>
      <c r="AV580">
        <v>31</v>
      </c>
      <c r="AW580">
        <v>6</v>
      </c>
      <c r="AX580" t="s">
        <v>74</v>
      </c>
      <c r="AY580" t="s">
        <v>74</v>
      </c>
      <c r="AZ580" t="s">
        <v>74</v>
      </c>
      <c r="BA580" t="s">
        <v>74</v>
      </c>
      <c r="BB580">
        <v>759</v>
      </c>
      <c r="BC580">
        <v>763</v>
      </c>
      <c r="BD580" t="s">
        <v>74</v>
      </c>
      <c r="BE580" t="s">
        <v>6988</v>
      </c>
      <c r="BF580" t="str">
        <f>HYPERLINK("http://dx.doi.org/10.1007/s00300-008-0430-3","http://dx.doi.org/10.1007/s00300-008-0430-3")</f>
        <v>http://dx.doi.org/10.1007/s00300-008-0430-3</v>
      </c>
      <c r="BG580" t="s">
        <v>74</v>
      </c>
      <c r="BH580" t="s">
        <v>74</v>
      </c>
      <c r="BI580">
        <v>5</v>
      </c>
      <c r="BJ580" t="s">
        <v>2895</v>
      </c>
      <c r="BK580" t="s">
        <v>419</v>
      </c>
      <c r="BL580" t="s">
        <v>2896</v>
      </c>
      <c r="BM580" t="s">
        <v>6908</v>
      </c>
      <c r="BN580" t="s">
        <v>74</v>
      </c>
      <c r="BO580" t="s">
        <v>74</v>
      </c>
      <c r="BP580" t="s">
        <v>74</v>
      </c>
      <c r="BQ580" t="s">
        <v>74</v>
      </c>
      <c r="BR580" t="s">
        <v>101</v>
      </c>
      <c r="BS580" t="s">
        <v>6989</v>
      </c>
      <c r="BT580" t="str">
        <f>HYPERLINK("https%3A%2F%2Fwww.webofscience.com%2Fwos%2Fwoscc%2Ffull-record%2FWOS:000255059200013","View Full Record in Web of Science")</f>
        <v>View Full Record in Web of Science</v>
      </c>
    </row>
    <row r="581" spans="1:72" x14ac:dyDescent="0.15">
      <c r="A581" t="s">
        <v>72</v>
      </c>
      <c r="B581" t="s">
        <v>6990</v>
      </c>
      <c r="C581" t="s">
        <v>74</v>
      </c>
      <c r="D581" t="s">
        <v>74</v>
      </c>
      <c r="E581" t="s">
        <v>74</v>
      </c>
      <c r="F581" t="s">
        <v>6991</v>
      </c>
      <c r="G581" t="s">
        <v>74</v>
      </c>
      <c r="H581" t="s">
        <v>74</v>
      </c>
      <c r="I581" t="s">
        <v>6992</v>
      </c>
      <c r="J581" t="s">
        <v>6993</v>
      </c>
      <c r="K581" t="s">
        <v>74</v>
      </c>
      <c r="L581" t="s">
        <v>74</v>
      </c>
      <c r="M581" t="s">
        <v>78</v>
      </c>
      <c r="N581" t="s">
        <v>2737</v>
      </c>
      <c r="O581" t="s">
        <v>74</v>
      </c>
      <c r="P581" t="s">
        <v>74</v>
      </c>
      <c r="Q581" t="s">
        <v>74</v>
      </c>
      <c r="R581" t="s">
        <v>74</v>
      </c>
      <c r="S581" t="s">
        <v>74</v>
      </c>
      <c r="T581" t="s">
        <v>6994</v>
      </c>
      <c r="U581" t="s">
        <v>6995</v>
      </c>
      <c r="V581" t="s">
        <v>6996</v>
      </c>
      <c r="W581" t="s">
        <v>6997</v>
      </c>
      <c r="X581" t="s">
        <v>6998</v>
      </c>
      <c r="Y581" t="s">
        <v>6999</v>
      </c>
      <c r="Z581" t="s">
        <v>7000</v>
      </c>
      <c r="AA581" t="s">
        <v>7001</v>
      </c>
      <c r="AB581" t="s">
        <v>74</v>
      </c>
      <c r="AC581" t="s">
        <v>74</v>
      </c>
      <c r="AD581" t="s">
        <v>74</v>
      </c>
      <c r="AE581" t="s">
        <v>74</v>
      </c>
      <c r="AF581" t="s">
        <v>74</v>
      </c>
      <c r="AG581">
        <v>43</v>
      </c>
      <c r="AH581">
        <v>23</v>
      </c>
      <c r="AI581">
        <v>27</v>
      </c>
      <c r="AJ581">
        <v>1</v>
      </c>
      <c r="AK581">
        <v>13</v>
      </c>
      <c r="AL581" t="s">
        <v>4682</v>
      </c>
      <c r="AM581" t="s">
        <v>3008</v>
      </c>
      <c r="AN581" t="s">
        <v>4683</v>
      </c>
      <c r="AO581" t="s">
        <v>7002</v>
      </c>
      <c r="AP581" t="s">
        <v>7003</v>
      </c>
      <c r="AQ581" t="s">
        <v>74</v>
      </c>
      <c r="AR581" t="s">
        <v>7004</v>
      </c>
      <c r="AS581" t="s">
        <v>7005</v>
      </c>
      <c r="AT581" t="s">
        <v>5893</v>
      </c>
      <c r="AU581">
        <v>2008</v>
      </c>
      <c r="AV581">
        <v>21</v>
      </c>
      <c r="AW581">
        <v>5</v>
      </c>
      <c r="AX581" t="s">
        <v>74</v>
      </c>
      <c r="AY581" t="s">
        <v>74</v>
      </c>
      <c r="AZ581" t="s">
        <v>74</v>
      </c>
      <c r="BA581" t="s">
        <v>74</v>
      </c>
      <c r="BB581">
        <v>319</v>
      </c>
      <c r="BC581">
        <v>327</v>
      </c>
      <c r="BD581" t="s">
        <v>74</v>
      </c>
      <c r="BE581" t="s">
        <v>7006</v>
      </c>
      <c r="BF581" t="str">
        <f>HYPERLINK("http://dx.doi.org/10.1093/protein/gzn009","http://dx.doi.org/10.1093/protein/gzn009")</f>
        <v>http://dx.doi.org/10.1093/protein/gzn009</v>
      </c>
      <c r="BG581" t="s">
        <v>74</v>
      </c>
      <c r="BH581" t="s">
        <v>74</v>
      </c>
      <c r="BI581">
        <v>9</v>
      </c>
      <c r="BJ581" t="s">
        <v>7007</v>
      </c>
      <c r="BK581" t="s">
        <v>419</v>
      </c>
      <c r="BL581" t="s">
        <v>7007</v>
      </c>
      <c r="BM581" t="s">
        <v>7008</v>
      </c>
      <c r="BN581">
        <v>18411226</v>
      </c>
      <c r="BO581" t="s">
        <v>3589</v>
      </c>
      <c r="BP581" t="s">
        <v>74</v>
      </c>
      <c r="BQ581" t="s">
        <v>74</v>
      </c>
      <c r="BR581" t="s">
        <v>101</v>
      </c>
      <c r="BS581" t="s">
        <v>7009</v>
      </c>
      <c r="BT581" t="str">
        <f>HYPERLINK("https%3A%2F%2Fwww.webofscience.com%2Fwos%2Fwoscc%2Ffull-record%2FWOS:000255156400006","View Full Record in Web of Science")</f>
        <v>View Full Record in Web of Science</v>
      </c>
    </row>
    <row r="582" spans="1:72" x14ac:dyDescent="0.15">
      <c r="A582" t="s">
        <v>72</v>
      </c>
      <c r="B582" t="s">
        <v>7010</v>
      </c>
      <c r="C582" t="s">
        <v>74</v>
      </c>
      <c r="D582" t="s">
        <v>74</v>
      </c>
      <c r="E582" t="s">
        <v>74</v>
      </c>
      <c r="F582" t="s">
        <v>7011</v>
      </c>
      <c r="G582" t="s">
        <v>74</v>
      </c>
      <c r="H582" t="s">
        <v>74</v>
      </c>
      <c r="I582" t="s">
        <v>7012</v>
      </c>
      <c r="J582" t="s">
        <v>2998</v>
      </c>
      <c r="K582" t="s">
        <v>74</v>
      </c>
      <c r="L582" t="s">
        <v>74</v>
      </c>
      <c r="M582" t="s">
        <v>78</v>
      </c>
      <c r="N582" t="s">
        <v>2737</v>
      </c>
      <c r="O582" t="s">
        <v>74</v>
      </c>
      <c r="P582" t="s">
        <v>74</v>
      </c>
      <c r="Q582" t="s">
        <v>74</v>
      </c>
      <c r="R582" t="s">
        <v>74</v>
      </c>
      <c r="S582" t="s">
        <v>74</v>
      </c>
      <c r="T582" t="s">
        <v>74</v>
      </c>
      <c r="U582" t="s">
        <v>7013</v>
      </c>
      <c r="V582" t="s">
        <v>7014</v>
      </c>
      <c r="W582" t="s">
        <v>7015</v>
      </c>
      <c r="X582" t="s">
        <v>7016</v>
      </c>
      <c r="Y582" t="s">
        <v>7017</v>
      </c>
      <c r="Z582" t="s">
        <v>7018</v>
      </c>
      <c r="AA582" t="s">
        <v>7019</v>
      </c>
      <c r="AB582" t="s">
        <v>7020</v>
      </c>
      <c r="AC582" t="s">
        <v>74</v>
      </c>
      <c r="AD582" t="s">
        <v>74</v>
      </c>
      <c r="AE582" t="s">
        <v>74</v>
      </c>
      <c r="AF582" t="s">
        <v>74</v>
      </c>
      <c r="AG582">
        <v>77</v>
      </c>
      <c r="AH582">
        <v>74</v>
      </c>
      <c r="AI582">
        <v>87</v>
      </c>
      <c r="AJ582">
        <v>0</v>
      </c>
      <c r="AK582">
        <v>33</v>
      </c>
      <c r="AL582" t="s">
        <v>3007</v>
      </c>
      <c r="AM582" t="s">
        <v>3008</v>
      </c>
      <c r="AN582" t="s">
        <v>3009</v>
      </c>
      <c r="AO582" t="s">
        <v>3010</v>
      </c>
      <c r="AP582" t="s">
        <v>7021</v>
      </c>
      <c r="AQ582" t="s">
        <v>74</v>
      </c>
      <c r="AR582" t="s">
        <v>3011</v>
      </c>
      <c r="AS582" t="s">
        <v>3012</v>
      </c>
      <c r="AT582" t="s">
        <v>5893</v>
      </c>
      <c r="AU582">
        <v>2008</v>
      </c>
      <c r="AV582">
        <v>27</v>
      </c>
      <c r="AW582" t="s">
        <v>7022</v>
      </c>
      <c r="AX582" t="s">
        <v>74</v>
      </c>
      <c r="AY582" t="s">
        <v>74</v>
      </c>
      <c r="AZ582" t="s">
        <v>74</v>
      </c>
      <c r="BA582" t="s">
        <v>74</v>
      </c>
      <c r="BB582">
        <v>1076</v>
      </c>
      <c r="BC582">
        <v>1090</v>
      </c>
      <c r="BD582" t="s">
        <v>74</v>
      </c>
      <c r="BE582" t="s">
        <v>7023</v>
      </c>
      <c r="BF582" t="str">
        <f>HYPERLINK("http://dx.doi.org/10.1016/j.quascirev.2008.02.005","http://dx.doi.org/10.1016/j.quascirev.2008.02.005")</f>
        <v>http://dx.doi.org/10.1016/j.quascirev.2008.02.005</v>
      </c>
      <c r="BG582" t="s">
        <v>74</v>
      </c>
      <c r="BH582" t="s">
        <v>74</v>
      </c>
      <c r="BI582">
        <v>15</v>
      </c>
      <c r="BJ582" t="s">
        <v>3015</v>
      </c>
      <c r="BK582" t="s">
        <v>419</v>
      </c>
      <c r="BL582" t="s">
        <v>3016</v>
      </c>
      <c r="BM582" t="s">
        <v>7024</v>
      </c>
      <c r="BN582" t="s">
        <v>74</v>
      </c>
      <c r="BO582" t="s">
        <v>74</v>
      </c>
      <c r="BP582" t="s">
        <v>74</v>
      </c>
      <c r="BQ582" t="s">
        <v>74</v>
      </c>
      <c r="BR582" t="s">
        <v>101</v>
      </c>
      <c r="BS582" t="s">
        <v>7025</v>
      </c>
      <c r="BT582" t="str">
        <f>HYPERLINK("https%3A%2F%2Fwww.webofscience.com%2Fwos%2Fwoscc%2Ffull-record%2FWOS:000257404400014","View Full Record in Web of Science")</f>
        <v>View Full Record in Web of Science</v>
      </c>
    </row>
    <row r="583" spans="1:72" x14ac:dyDescent="0.15">
      <c r="A583" t="s">
        <v>72</v>
      </c>
      <c r="B583" t="s">
        <v>7026</v>
      </c>
      <c r="C583" t="s">
        <v>74</v>
      </c>
      <c r="D583" t="s">
        <v>74</v>
      </c>
      <c r="E583" t="s">
        <v>74</v>
      </c>
      <c r="F583" t="s">
        <v>7027</v>
      </c>
      <c r="G583" t="s">
        <v>74</v>
      </c>
      <c r="H583" t="s">
        <v>74</v>
      </c>
      <c r="I583" t="s">
        <v>7028</v>
      </c>
      <c r="J583" t="s">
        <v>3077</v>
      </c>
      <c r="K583" t="s">
        <v>74</v>
      </c>
      <c r="L583" t="s">
        <v>74</v>
      </c>
      <c r="M583" t="s">
        <v>78</v>
      </c>
      <c r="N583" t="s">
        <v>2737</v>
      </c>
      <c r="O583" t="s">
        <v>74</v>
      </c>
      <c r="P583" t="s">
        <v>74</v>
      </c>
      <c r="Q583" t="s">
        <v>74</v>
      </c>
      <c r="R583" t="s">
        <v>74</v>
      </c>
      <c r="S583" t="s">
        <v>74</v>
      </c>
      <c r="T583" t="s">
        <v>7029</v>
      </c>
      <c r="U583" t="s">
        <v>7030</v>
      </c>
      <c r="V583" t="s">
        <v>7031</v>
      </c>
      <c r="W583" t="s">
        <v>7032</v>
      </c>
      <c r="X583" t="s">
        <v>3082</v>
      </c>
      <c r="Y583" t="s">
        <v>7033</v>
      </c>
      <c r="Z583" t="s">
        <v>7034</v>
      </c>
      <c r="AA583" t="s">
        <v>74</v>
      </c>
      <c r="AB583" t="s">
        <v>74</v>
      </c>
      <c r="AC583" t="s">
        <v>74</v>
      </c>
      <c r="AD583" t="s">
        <v>74</v>
      </c>
      <c r="AE583" t="s">
        <v>74</v>
      </c>
      <c r="AF583" t="s">
        <v>74</v>
      </c>
      <c r="AG583">
        <v>36</v>
      </c>
      <c r="AH583">
        <v>18</v>
      </c>
      <c r="AI583">
        <v>21</v>
      </c>
      <c r="AJ583">
        <v>0</v>
      </c>
      <c r="AK583">
        <v>12</v>
      </c>
      <c r="AL583" t="s">
        <v>3086</v>
      </c>
      <c r="AM583" t="s">
        <v>3087</v>
      </c>
      <c r="AN583" t="s">
        <v>3088</v>
      </c>
      <c r="AO583" t="s">
        <v>3089</v>
      </c>
      <c r="AP583" t="s">
        <v>74</v>
      </c>
      <c r="AQ583" t="s">
        <v>74</v>
      </c>
      <c r="AR583" t="s">
        <v>3090</v>
      </c>
      <c r="AS583" t="s">
        <v>3091</v>
      </c>
      <c r="AT583" t="s">
        <v>5893</v>
      </c>
      <c r="AU583">
        <v>2008</v>
      </c>
      <c r="AV583">
        <v>51</v>
      </c>
      <c r="AW583">
        <v>5</v>
      </c>
      <c r="AX583" t="s">
        <v>74</v>
      </c>
      <c r="AY583" t="s">
        <v>74</v>
      </c>
      <c r="AZ583" t="s">
        <v>74</v>
      </c>
      <c r="BA583" t="s">
        <v>74</v>
      </c>
      <c r="BB583">
        <v>709</v>
      </c>
      <c r="BC583">
        <v>720</v>
      </c>
      <c r="BD583" t="s">
        <v>74</v>
      </c>
      <c r="BE583" t="s">
        <v>7035</v>
      </c>
      <c r="BF583" t="str">
        <f>HYPERLINK("http://dx.doi.org/10.1007/s11430-008-0048-x","http://dx.doi.org/10.1007/s11430-008-0048-x")</f>
        <v>http://dx.doi.org/10.1007/s11430-008-0048-x</v>
      </c>
      <c r="BG583" t="s">
        <v>74</v>
      </c>
      <c r="BH583" t="s">
        <v>74</v>
      </c>
      <c r="BI583">
        <v>12</v>
      </c>
      <c r="BJ583" t="s">
        <v>3093</v>
      </c>
      <c r="BK583" t="s">
        <v>419</v>
      </c>
      <c r="BL583" t="s">
        <v>3094</v>
      </c>
      <c r="BM583" t="s">
        <v>7036</v>
      </c>
      <c r="BN583" t="s">
        <v>74</v>
      </c>
      <c r="BO583" t="s">
        <v>74</v>
      </c>
      <c r="BP583" t="s">
        <v>74</v>
      </c>
      <c r="BQ583" t="s">
        <v>74</v>
      </c>
      <c r="BR583" t="s">
        <v>101</v>
      </c>
      <c r="BS583" t="s">
        <v>7037</v>
      </c>
      <c r="BT583" t="str">
        <f>HYPERLINK("https%3A%2F%2Fwww.webofscience.com%2Fwos%2Fwoscc%2Ffull-record%2FWOS:000255115600008","View Full Record in Web of Science")</f>
        <v>View Full Record in Web of Science</v>
      </c>
    </row>
    <row r="584" spans="1:72" x14ac:dyDescent="0.15">
      <c r="A584" t="s">
        <v>72</v>
      </c>
      <c r="B584" t="s">
        <v>7038</v>
      </c>
      <c r="C584" t="s">
        <v>74</v>
      </c>
      <c r="D584" t="s">
        <v>74</v>
      </c>
      <c r="E584" t="s">
        <v>74</v>
      </c>
      <c r="F584" t="s">
        <v>7039</v>
      </c>
      <c r="G584" t="s">
        <v>74</v>
      </c>
      <c r="H584" t="s">
        <v>74</v>
      </c>
      <c r="I584" t="s">
        <v>7040</v>
      </c>
      <c r="J584" t="s">
        <v>7041</v>
      </c>
      <c r="K584" t="s">
        <v>74</v>
      </c>
      <c r="L584" t="s">
        <v>74</v>
      </c>
      <c r="M584" t="s">
        <v>7042</v>
      </c>
      <c r="N584" t="s">
        <v>2737</v>
      </c>
      <c r="O584" t="s">
        <v>74</v>
      </c>
      <c r="P584" t="s">
        <v>74</v>
      </c>
      <c r="Q584" t="s">
        <v>74</v>
      </c>
      <c r="R584" t="s">
        <v>74</v>
      </c>
      <c r="S584" t="s">
        <v>74</v>
      </c>
      <c r="T584" t="s">
        <v>74</v>
      </c>
      <c r="U584" t="s">
        <v>74</v>
      </c>
      <c r="V584" t="s">
        <v>7043</v>
      </c>
      <c r="W584" t="s">
        <v>7044</v>
      </c>
      <c r="X584" t="s">
        <v>74</v>
      </c>
      <c r="Y584" t="s">
        <v>7045</v>
      </c>
      <c r="Z584" t="s">
        <v>74</v>
      </c>
      <c r="AA584" t="s">
        <v>74</v>
      </c>
      <c r="AB584" t="s">
        <v>74</v>
      </c>
      <c r="AC584" t="s">
        <v>74</v>
      </c>
      <c r="AD584" t="s">
        <v>74</v>
      </c>
      <c r="AE584" t="s">
        <v>74</v>
      </c>
      <c r="AF584" t="s">
        <v>74</v>
      </c>
      <c r="AG584">
        <v>1</v>
      </c>
      <c r="AH584">
        <v>1</v>
      </c>
      <c r="AI584">
        <v>1</v>
      </c>
      <c r="AJ584">
        <v>0</v>
      </c>
      <c r="AK584">
        <v>3</v>
      </c>
      <c r="AL584" t="s">
        <v>7046</v>
      </c>
      <c r="AM584" t="s">
        <v>7047</v>
      </c>
      <c r="AN584" t="s">
        <v>7048</v>
      </c>
      <c r="AO584" t="s">
        <v>7049</v>
      </c>
      <c r="AP584" t="s">
        <v>74</v>
      </c>
      <c r="AQ584" t="s">
        <v>74</v>
      </c>
      <c r="AR584" t="s">
        <v>7041</v>
      </c>
      <c r="AS584" t="s">
        <v>7050</v>
      </c>
      <c r="AT584" t="s">
        <v>5893</v>
      </c>
      <c r="AU584">
        <v>2008</v>
      </c>
      <c r="AV584">
        <v>77</v>
      </c>
      <c r="AW584">
        <v>5</v>
      </c>
      <c r="AX584" t="s">
        <v>74</v>
      </c>
      <c r="AY584" t="s">
        <v>74</v>
      </c>
      <c r="AZ584" t="s">
        <v>74</v>
      </c>
      <c r="BA584" t="s">
        <v>74</v>
      </c>
      <c r="BB584">
        <v>320</v>
      </c>
      <c r="BC584" t="s">
        <v>3131</v>
      </c>
      <c r="BD584" t="s">
        <v>74</v>
      </c>
      <c r="BE584" t="s">
        <v>7051</v>
      </c>
      <c r="BF584" t="str">
        <f>HYPERLINK("http://dx.doi.org/10.1002/stab.200810044","http://dx.doi.org/10.1002/stab.200810044")</f>
        <v>http://dx.doi.org/10.1002/stab.200810044</v>
      </c>
      <c r="BG584" t="s">
        <v>74</v>
      </c>
      <c r="BH584" t="s">
        <v>74</v>
      </c>
      <c r="BI584">
        <v>8</v>
      </c>
      <c r="BJ584" t="s">
        <v>7052</v>
      </c>
      <c r="BK584" t="s">
        <v>419</v>
      </c>
      <c r="BL584" t="s">
        <v>7053</v>
      </c>
      <c r="BM584" t="s">
        <v>7054</v>
      </c>
      <c r="BN584" t="s">
        <v>74</v>
      </c>
      <c r="BO584" t="s">
        <v>3290</v>
      </c>
      <c r="BP584" t="s">
        <v>74</v>
      </c>
      <c r="BQ584" t="s">
        <v>74</v>
      </c>
      <c r="BR584" t="s">
        <v>101</v>
      </c>
      <c r="BS584" t="s">
        <v>7055</v>
      </c>
      <c r="BT584" t="str">
        <f>HYPERLINK("https%3A%2F%2Fwww.webofscience.com%2Fwos%2Fwoscc%2Ffull-record%2FWOS:000256181600002","View Full Record in Web of Science")</f>
        <v>View Full Record in Web of Science</v>
      </c>
    </row>
    <row r="585" spans="1:72" x14ac:dyDescent="0.15">
      <c r="A585" t="s">
        <v>72</v>
      </c>
      <c r="B585" t="s">
        <v>7056</v>
      </c>
      <c r="C585" t="s">
        <v>74</v>
      </c>
      <c r="D585" t="s">
        <v>74</v>
      </c>
      <c r="E585" t="s">
        <v>74</v>
      </c>
      <c r="F585" t="s">
        <v>7057</v>
      </c>
      <c r="G585" t="s">
        <v>74</v>
      </c>
      <c r="H585" t="s">
        <v>74</v>
      </c>
      <c r="I585" t="s">
        <v>7058</v>
      </c>
      <c r="J585" t="s">
        <v>7059</v>
      </c>
      <c r="K585" t="s">
        <v>74</v>
      </c>
      <c r="L585" t="s">
        <v>74</v>
      </c>
      <c r="M585" t="s">
        <v>78</v>
      </c>
      <c r="N585" t="s">
        <v>3116</v>
      </c>
      <c r="O585" t="s">
        <v>74</v>
      </c>
      <c r="P585" t="s">
        <v>74</v>
      </c>
      <c r="Q585" t="s">
        <v>74</v>
      </c>
      <c r="R585" t="s">
        <v>74</v>
      </c>
      <c r="S585" t="s">
        <v>74</v>
      </c>
      <c r="T585" t="s">
        <v>74</v>
      </c>
      <c r="U585" t="s">
        <v>74</v>
      </c>
      <c r="V585" t="s">
        <v>74</v>
      </c>
      <c r="W585" t="s">
        <v>74</v>
      </c>
      <c r="X585" t="s">
        <v>74</v>
      </c>
      <c r="Y585" t="s">
        <v>74</v>
      </c>
      <c r="Z585" t="s">
        <v>74</v>
      </c>
      <c r="AA585" t="s">
        <v>74</v>
      </c>
      <c r="AB585" t="s">
        <v>74</v>
      </c>
      <c r="AC585" t="s">
        <v>74</v>
      </c>
      <c r="AD585" t="s">
        <v>74</v>
      </c>
      <c r="AE585" t="s">
        <v>74</v>
      </c>
      <c r="AF585" t="s">
        <v>74</v>
      </c>
      <c r="AG585">
        <v>0</v>
      </c>
      <c r="AH585">
        <v>0</v>
      </c>
      <c r="AI585">
        <v>0</v>
      </c>
      <c r="AJ585">
        <v>0</v>
      </c>
      <c r="AK585">
        <v>0</v>
      </c>
      <c r="AL585" t="s">
        <v>149</v>
      </c>
      <c r="AM585" t="s">
        <v>150</v>
      </c>
      <c r="AN585" t="s">
        <v>151</v>
      </c>
      <c r="AO585" t="s">
        <v>7060</v>
      </c>
      <c r="AP585" t="s">
        <v>74</v>
      </c>
      <c r="AQ585" t="s">
        <v>74</v>
      </c>
      <c r="AR585" t="s">
        <v>7059</v>
      </c>
      <c r="AS585" t="s">
        <v>7061</v>
      </c>
      <c r="AT585" t="s">
        <v>5893</v>
      </c>
      <c r="AU585">
        <v>2008</v>
      </c>
      <c r="AV585">
        <v>63</v>
      </c>
      <c r="AW585">
        <v>5</v>
      </c>
      <c r="AX585" t="s">
        <v>74</v>
      </c>
      <c r="AY585" t="s">
        <v>74</v>
      </c>
      <c r="AZ585" t="s">
        <v>74</v>
      </c>
      <c r="BA585" t="s">
        <v>74</v>
      </c>
      <c r="BB585">
        <v>114</v>
      </c>
      <c r="BC585">
        <v>114</v>
      </c>
      <c r="BD585" t="s">
        <v>74</v>
      </c>
      <c r="BE585" t="s">
        <v>74</v>
      </c>
      <c r="BF585" t="s">
        <v>74</v>
      </c>
      <c r="BG585" t="s">
        <v>74</v>
      </c>
      <c r="BH585" t="s">
        <v>74</v>
      </c>
      <c r="BI585">
        <v>1</v>
      </c>
      <c r="BJ585" t="s">
        <v>3071</v>
      </c>
      <c r="BK585" t="s">
        <v>419</v>
      </c>
      <c r="BL585" t="s">
        <v>3071</v>
      </c>
      <c r="BM585" t="s">
        <v>7062</v>
      </c>
      <c r="BN585" t="s">
        <v>74</v>
      </c>
      <c r="BO585" t="s">
        <v>74</v>
      </c>
      <c r="BP585" t="s">
        <v>74</v>
      </c>
      <c r="BQ585" t="s">
        <v>74</v>
      </c>
      <c r="BR585" t="s">
        <v>101</v>
      </c>
      <c r="BS585" t="s">
        <v>7063</v>
      </c>
      <c r="BT585" t="str">
        <f>HYPERLINK("https%3A%2F%2Fwww.webofscience.com%2Fwos%2Fwoscc%2Ffull-record%2FWOS:000263412800001","View Full Record in Web of Science")</f>
        <v>View Full Record in Web of Science</v>
      </c>
    </row>
    <row r="586" spans="1:72" x14ac:dyDescent="0.15">
      <c r="A586" t="s">
        <v>72</v>
      </c>
      <c r="B586" t="s">
        <v>7064</v>
      </c>
      <c r="C586" t="s">
        <v>74</v>
      </c>
      <c r="D586" t="s">
        <v>74</v>
      </c>
      <c r="E586" t="s">
        <v>74</v>
      </c>
      <c r="F586" t="s">
        <v>7065</v>
      </c>
      <c r="G586" t="s">
        <v>74</v>
      </c>
      <c r="H586" t="s">
        <v>74</v>
      </c>
      <c r="I586" t="s">
        <v>7066</v>
      </c>
      <c r="J586" t="s">
        <v>3248</v>
      </c>
      <c r="K586" t="s">
        <v>74</v>
      </c>
      <c r="L586" t="s">
        <v>74</v>
      </c>
      <c r="M586" t="s">
        <v>78</v>
      </c>
      <c r="N586" t="s">
        <v>2737</v>
      </c>
      <c r="O586" t="s">
        <v>74</v>
      </c>
      <c r="P586" t="s">
        <v>74</v>
      </c>
      <c r="Q586" t="s">
        <v>74</v>
      </c>
      <c r="R586" t="s">
        <v>74</v>
      </c>
      <c r="S586" t="s">
        <v>74</v>
      </c>
      <c r="T586" t="s">
        <v>7067</v>
      </c>
      <c r="U586" t="s">
        <v>7068</v>
      </c>
      <c r="V586" t="s">
        <v>7069</v>
      </c>
      <c r="W586" t="s">
        <v>7070</v>
      </c>
      <c r="X586" t="s">
        <v>7071</v>
      </c>
      <c r="Y586" t="s">
        <v>7072</v>
      </c>
      <c r="Z586" t="s">
        <v>7073</v>
      </c>
      <c r="AA586" t="s">
        <v>7074</v>
      </c>
      <c r="AB586" t="s">
        <v>7075</v>
      </c>
      <c r="AC586" t="s">
        <v>74</v>
      </c>
      <c r="AD586" t="s">
        <v>74</v>
      </c>
      <c r="AE586" t="s">
        <v>74</v>
      </c>
      <c r="AF586" t="s">
        <v>74</v>
      </c>
      <c r="AG586">
        <v>60</v>
      </c>
      <c r="AH586">
        <v>8</v>
      </c>
      <c r="AI586">
        <v>8</v>
      </c>
      <c r="AJ586">
        <v>0</v>
      </c>
      <c r="AK586">
        <v>8</v>
      </c>
      <c r="AL586" t="s">
        <v>3933</v>
      </c>
      <c r="AM586" t="s">
        <v>3258</v>
      </c>
      <c r="AN586" t="s">
        <v>3934</v>
      </c>
      <c r="AO586" t="s">
        <v>3260</v>
      </c>
      <c r="AP586" t="s">
        <v>5435</v>
      </c>
      <c r="AQ586" t="s">
        <v>74</v>
      </c>
      <c r="AR586" t="s">
        <v>3261</v>
      </c>
      <c r="AS586" t="s">
        <v>3262</v>
      </c>
      <c r="AT586" t="s">
        <v>7076</v>
      </c>
      <c r="AU586">
        <v>2008</v>
      </c>
      <c r="AV586">
        <v>268</v>
      </c>
      <c r="AW586" t="s">
        <v>3263</v>
      </c>
      <c r="AX586" t="s">
        <v>74</v>
      </c>
      <c r="AY586" t="s">
        <v>74</v>
      </c>
      <c r="AZ586" t="s">
        <v>74</v>
      </c>
      <c r="BA586" t="s">
        <v>74</v>
      </c>
      <c r="BB586">
        <v>424</v>
      </c>
      <c r="BC586">
        <v>432</v>
      </c>
      <c r="BD586" t="s">
        <v>74</v>
      </c>
      <c r="BE586" t="s">
        <v>7077</v>
      </c>
      <c r="BF586" t="str">
        <f>HYPERLINK("http://dx.doi.org/10.1016/j.epsl.2008.01.037","http://dx.doi.org/10.1016/j.epsl.2008.01.037")</f>
        <v>http://dx.doi.org/10.1016/j.epsl.2008.01.037</v>
      </c>
      <c r="BG586" t="s">
        <v>74</v>
      </c>
      <c r="BH586" t="s">
        <v>74</v>
      </c>
      <c r="BI586">
        <v>9</v>
      </c>
      <c r="BJ586" t="s">
        <v>98</v>
      </c>
      <c r="BK586" t="s">
        <v>419</v>
      </c>
      <c r="BL586" t="s">
        <v>98</v>
      </c>
      <c r="BM586" t="s">
        <v>7078</v>
      </c>
      <c r="BN586" t="s">
        <v>74</v>
      </c>
      <c r="BO586" t="s">
        <v>3110</v>
      </c>
      <c r="BP586" t="s">
        <v>74</v>
      </c>
      <c r="BQ586" t="s">
        <v>74</v>
      </c>
      <c r="BR586" t="s">
        <v>101</v>
      </c>
      <c r="BS586" t="s">
        <v>7079</v>
      </c>
      <c r="BT586" t="str">
        <f>HYPERLINK("https%3A%2F%2Fwww.webofscience.com%2Fwos%2Fwoscc%2Ffull-record%2FWOS:000255603800016","View Full Record in Web of Science")</f>
        <v>View Full Record in Web of Science</v>
      </c>
    </row>
    <row r="587" spans="1:72" x14ac:dyDescent="0.15">
      <c r="A587" t="s">
        <v>72</v>
      </c>
      <c r="B587" t="s">
        <v>7080</v>
      </c>
      <c r="C587" t="s">
        <v>74</v>
      </c>
      <c r="D587" t="s">
        <v>74</v>
      </c>
      <c r="E587" t="s">
        <v>74</v>
      </c>
      <c r="F587" t="s">
        <v>7081</v>
      </c>
      <c r="G587" t="s">
        <v>74</v>
      </c>
      <c r="H587" t="s">
        <v>74</v>
      </c>
      <c r="I587" t="s">
        <v>7082</v>
      </c>
      <c r="J587" t="s">
        <v>7083</v>
      </c>
      <c r="K587" t="s">
        <v>74</v>
      </c>
      <c r="L587" t="s">
        <v>74</v>
      </c>
      <c r="M587" t="s">
        <v>78</v>
      </c>
      <c r="N587" t="s">
        <v>2737</v>
      </c>
      <c r="O587" t="s">
        <v>74</v>
      </c>
      <c r="P587" t="s">
        <v>74</v>
      </c>
      <c r="Q587" t="s">
        <v>74</v>
      </c>
      <c r="R587" t="s">
        <v>74</v>
      </c>
      <c r="S587" t="s">
        <v>74</v>
      </c>
      <c r="T587" t="s">
        <v>7084</v>
      </c>
      <c r="U587" t="s">
        <v>7085</v>
      </c>
      <c r="V587" t="s">
        <v>7086</v>
      </c>
      <c r="W587" t="s">
        <v>7087</v>
      </c>
      <c r="X587" t="s">
        <v>7088</v>
      </c>
      <c r="Y587" t="s">
        <v>7089</v>
      </c>
      <c r="Z587" t="s">
        <v>7090</v>
      </c>
      <c r="AA587" t="s">
        <v>74</v>
      </c>
      <c r="AB587" t="s">
        <v>7091</v>
      </c>
      <c r="AC587" t="s">
        <v>74</v>
      </c>
      <c r="AD587" t="s">
        <v>74</v>
      </c>
      <c r="AE587" t="s">
        <v>74</v>
      </c>
      <c r="AF587" t="s">
        <v>74</v>
      </c>
      <c r="AG587">
        <v>35</v>
      </c>
      <c r="AH587">
        <v>17</v>
      </c>
      <c r="AI587">
        <v>19</v>
      </c>
      <c r="AJ587">
        <v>0</v>
      </c>
      <c r="AK587">
        <v>5</v>
      </c>
      <c r="AL587" t="s">
        <v>7092</v>
      </c>
      <c r="AM587" t="s">
        <v>4661</v>
      </c>
      <c r="AN587" t="s">
        <v>7093</v>
      </c>
      <c r="AO587" t="s">
        <v>7094</v>
      </c>
      <c r="AP587" t="s">
        <v>7095</v>
      </c>
      <c r="AQ587" t="s">
        <v>74</v>
      </c>
      <c r="AR587" t="s">
        <v>7096</v>
      </c>
      <c r="AS587" t="s">
        <v>7097</v>
      </c>
      <c r="AT587" t="s">
        <v>7076</v>
      </c>
      <c r="AU587">
        <v>2008</v>
      </c>
      <c r="AV587">
        <v>25</v>
      </c>
      <c r="AW587">
        <v>2</v>
      </c>
      <c r="AX587" t="s">
        <v>74</v>
      </c>
      <c r="AY587" t="s">
        <v>74</v>
      </c>
      <c r="AZ587" t="s">
        <v>74</v>
      </c>
      <c r="BA587" t="s">
        <v>74</v>
      </c>
      <c r="BB587">
        <v>258</v>
      </c>
      <c r="BC587">
        <v>264</v>
      </c>
      <c r="BD587" t="s">
        <v>74</v>
      </c>
      <c r="BE587" t="s">
        <v>74</v>
      </c>
      <c r="BF587" t="s">
        <v>74</v>
      </c>
      <c r="BG587" t="s">
        <v>74</v>
      </c>
      <c r="BH587" t="s">
        <v>74</v>
      </c>
      <c r="BI587">
        <v>7</v>
      </c>
      <c r="BJ587" t="s">
        <v>7098</v>
      </c>
      <c r="BK587" t="s">
        <v>419</v>
      </c>
      <c r="BL587" t="s">
        <v>7098</v>
      </c>
      <c r="BM587" t="s">
        <v>7099</v>
      </c>
      <c r="BN587">
        <v>18414009</v>
      </c>
      <c r="BO587" t="s">
        <v>74</v>
      </c>
      <c r="BP587" t="s">
        <v>74</v>
      </c>
      <c r="BQ587" t="s">
        <v>74</v>
      </c>
      <c r="BR587" t="s">
        <v>101</v>
      </c>
      <c r="BS587" t="s">
        <v>7100</v>
      </c>
      <c r="BT587" t="str">
        <f>HYPERLINK("https%3A%2F%2Fwww.webofscience.com%2Fwos%2Fwoscc%2Ffull-record%2FWOS:000255901600016","View Full Record in Web of Science")</f>
        <v>View Full Record in Web of Science</v>
      </c>
    </row>
    <row r="588" spans="1:72" x14ac:dyDescent="0.15">
      <c r="A588" t="s">
        <v>72</v>
      </c>
      <c r="B588" t="s">
        <v>7101</v>
      </c>
      <c r="C588" t="s">
        <v>74</v>
      </c>
      <c r="D588" t="s">
        <v>74</v>
      </c>
      <c r="E588" t="s">
        <v>74</v>
      </c>
      <c r="F588" t="s">
        <v>7102</v>
      </c>
      <c r="G588" t="s">
        <v>74</v>
      </c>
      <c r="H588" t="s">
        <v>74</v>
      </c>
      <c r="I588" t="s">
        <v>7103</v>
      </c>
      <c r="J588" t="s">
        <v>3432</v>
      </c>
      <c r="K588" t="s">
        <v>74</v>
      </c>
      <c r="L588" t="s">
        <v>74</v>
      </c>
      <c r="M588" t="s">
        <v>78</v>
      </c>
      <c r="N588" t="s">
        <v>2737</v>
      </c>
      <c r="O588" t="s">
        <v>74</v>
      </c>
      <c r="P588" t="s">
        <v>74</v>
      </c>
      <c r="Q588" t="s">
        <v>74</v>
      </c>
      <c r="R588" t="s">
        <v>74</v>
      </c>
      <c r="S588" t="s">
        <v>74</v>
      </c>
      <c r="T588" t="s">
        <v>74</v>
      </c>
      <c r="U588" t="s">
        <v>7104</v>
      </c>
      <c r="V588" t="s">
        <v>7105</v>
      </c>
      <c r="W588" t="s">
        <v>7106</v>
      </c>
      <c r="X588" t="s">
        <v>7107</v>
      </c>
      <c r="Y588" t="s">
        <v>7108</v>
      </c>
      <c r="Z588" t="s">
        <v>7109</v>
      </c>
      <c r="AA588" t="s">
        <v>7110</v>
      </c>
      <c r="AB588" t="s">
        <v>7111</v>
      </c>
      <c r="AC588" t="s">
        <v>74</v>
      </c>
      <c r="AD588" t="s">
        <v>74</v>
      </c>
      <c r="AE588" t="s">
        <v>74</v>
      </c>
      <c r="AF588" t="s">
        <v>74</v>
      </c>
      <c r="AG588">
        <v>29</v>
      </c>
      <c r="AH588">
        <v>110</v>
      </c>
      <c r="AI588">
        <v>122</v>
      </c>
      <c r="AJ588">
        <v>1</v>
      </c>
      <c r="AK588">
        <v>14</v>
      </c>
      <c r="AL588" t="s">
        <v>3280</v>
      </c>
      <c r="AM588" t="s">
        <v>3281</v>
      </c>
      <c r="AN588" t="s">
        <v>3282</v>
      </c>
      <c r="AO588" t="s">
        <v>3439</v>
      </c>
      <c r="AP588" t="s">
        <v>3440</v>
      </c>
      <c r="AQ588" t="s">
        <v>74</v>
      </c>
      <c r="AR588" t="s">
        <v>3441</v>
      </c>
      <c r="AS588" t="s">
        <v>3442</v>
      </c>
      <c r="AT588" t="s">
        <v>7112</v>
      </c>
      <c r="AU588">
        <v>2008</v>
      </c>
      <c r="AV588">
        <v>113</v>
      </c>
      <c r="AW588" t="s">
        <v>7113</v>
      </c>
      <c r="AX588" t="s">
        <v>74</v>
      </c>
      <c r="AY588" t="s">
        <v>74</v>
      </c>
      <c r="AZ588" t="s">
        <v>74</v>
      </c>
      <c r="BA588" t="s">
        <v>74</v>
      </c>
      <c r="BB588" t="s">
        <v>74</v>
      </c>
      <c r="BC588" t="s">
        <v>74</v>
      </c>
      <c r="BD588" t="s">
        <v>7114</v>
      </c>
      <c r="BE588" t="s">
        <v>7115</v>
      </c>
      <c r="BF588" t="str">
        <f>HYPERLINK("http://dx.doi.org/10.1029/2007JC004346","http://dx.doi.org/10.1029/2007JC004346")</f>
        <v>http://dx.doi.org/10.1029/2007JC004346</v>
      </c>
      <c r="BG588" t="s">
        <v>74</v>
      </c>
      <c r="BH588" t="s">
        <v>74</v>
      </c>
      <c r="BI588">
        <v>12</v>
      </c>
      <c r="BJ588" t="s">
        <v>3447</v>
      </c>
      <c r="BK588" t="s">
        <v>419</v>
      </c>
      <c r="BL588" t="s">
        <v>3447</v>
      </c>
      <c r="BM588" t="s">
        <v>7116</v>
      </c>
      <c r="BN588" t="s">
        <v>74</v>
      </c>
      <c r="BO588" t="s">
        <v>7117</v>
      </c>
      <c r="BP588" t="s">
        <v>74</v>
      </c>
      <c r="BQ588" t="s">
        <v>74</v>
      </c>
      <c r="BR588" t="s">
        <v>101</v>
      </c>
      <c r="BS588" t="s">
        <v>7118</v>
      </c>
      <c r="BT588" t="str">
        <f>HYPERLINK("https%3A%2F%2Fwww.webofscience.com%2Fwos%2Fwoscc%2Ffull-record%2FWOS:000255595000002","View Full Record in Web of Science")</f>
        <v>View Full Record in Web of Science</v>
      </c>
    </row>
    <row r="589" spans="1:72" x14ac:dyDescent="0.15">
      <c r="A589" t="s">
        <v>72</v>
      </c>
      <c r="B589" t="s">
        <v>7119</v>
      </c>
      <c r="C589" t="s">
        <v>74</v>
      </c>
      <c r="D589" t="s">
        <v>74</v>
      </c>
      <c r="E589" t="s">
        <v>74</v>
      </c>
      <c r="F589" t="s">
        <v>7120</v>
      </c>
      <c r="G589" t="s">
        <v>74</v>
      </c>
      <c r="H589" t="s">
        <v>74</v>
      </c>
      <c r="I589" t="s">
        <v>7121</v>
      </c>
      <c r="J589" t="s">
        <v>5746</v>
      </c>
      <c r="K589" t="s">
        <v>74</v>
      </c>
      <c r="L589" t="s">
        <v>74</v>
      </c>
      <c r="M589" t="s">
        <v>78</v>
      </c>
      <c r="N589" t="s">
        <v>3116</v>
      </c>
      <c r="O589" t="s">
        <v>74</v>
      </c>
      <c r="P589" t="s">
        <v>74</v>
      </c>
      <c r="Q589" t="s">
        <v>74</v>
      </c>
      <c r="R589" t="s">
        <v>74</v>
      </c>
      <c r="S589" t="s">
        <v>74</v>
      </c>
      <c r="T589" t="s">
        <v>74</v>
      </c>
      <c r="U589" t="s">
        <v>74</v>
      </c>
      <c r="V589" t="s">
        <v>7122</v>
      </c>
      <c r="W589" t="s">
        <v>74</v>
      </c>
      <c r="X589" t="s">
        <v>74</v>
      </c>
      <c r="Y589" t="s">
        <v>74</v>
      </c>
      <c r="Z589" t="s">
        <v>74</v>
      </c>
      <c r="AA589" t="s">
        <v>74</v>
      </c>
      <c r="AB589" t="s">
        <v>74</v>
      </c>
      <c r="AC589" t="s">
        <v>74</v>
      </c>
      <c r="AD589" t="s">
        <v>74</v>
      </c>
      <c r="AE589" t="s">
        <v>74</v>
      </c>
      <c r="AF589" t="s">
        <v>74</v>
      </c>
      <c r="AG589">
        <v>0</v>
      </c>
      <c r="AH589">
        <v>2</v>
      </c>
      <c r="AI589">
        <v>2</v>
      </c>
      <c r="AJ589">
        <v>0</v>
      </c>
      <c r="AK589">
        <v>2</v>
      </c>
      <c r="AL589" t="s">
        <v>4064</v>
      </c>
      <c r="AM589" t="s">
        <v>3281</v>
      </c>
      <c r="AN589" t="s">
        <v>4065</v>
      </c>
      <c r="AO589" t="s">
        <v>5748</v>
      </c>
      <c r="AP589" t="s">
        <v>74</v>
      </c>
      <c r="AQ589" t="s">
        <v>74</v>
      </c>
      <c r="AR589" t="s">
        <v>5749</v>
      </c>
      <c r="AS589" t="s">
        <v>5750</v>
      </c>
      <c r="AT589" t="s">
        <v>7123</v>
      </c>
      <c r="AU589">
        <v>2008</v>
      </c>
      <c r="AV589">
        <v>86</v>
      </c>
      <c r="AW589">
        <v>17</v>
      </c>
      <c r="AX589" t="s">
        <v>74</v>
      </c>
      <c r="AY589" t="s">
        <v>74</v>
      </c>
      <c r="AZ589" t="s">
        <v>74</v>
      </c>
      <c r="BA589" t="s">
        <v>74</v>
      </c>
      <c r="BB589">
        <v>14</v>
      </c>
      <c r="BC589">
        <v>14</v>
      </c>
      <c r="BD589" t="s">
        <v>74</v>
      </c>
      <c r="BE589" t="s">
        <v>74</v>
      </c>
      <c r="BF589" t="s">
        <v>74</v>
      </c>
      <c r="BG589" t="s">
        <v>74</v>
      </c>
      <c r="BH589" t="s">
        <v>74</v>
      </c>
      <c r="BI589">
        <v>1</v>
      </c>
      <c r="BJ589" t="s">
        <v>5752</v>
      </c>
      <c r="BK589" t="s">
        <v>419</v>
      </c>
      <c r="BL589" t="s">
        <v>5753</v>
      </c>
      <c r="BM589" t="s">
        <v>7124</v>
      </c>
      <c r="BN589" t="s">
        <v>74</v>
      </c>
      <c r="BO589" t="s">
        <v>74</v>
      </c>
      <c r="BP589" t="s">
        <v>74</v>
      </c>
      <c r="BQ589" t="s">
        <v>74</v>
      </c>
      <c r="BR589" t="s">
        <v>101</v>
      </c>
      <c r="BS589" t="s">
        <v>7125</v>
      </c>
      <c r="BT589" t="str">
        <f>HYPERLINK("https%3A%2F%2Fwww.webofscience.com%2Fwos%2Fwoscc%2Ffull-record%2FWOS:000255622600015","View Full Record in Web of Science")</f>
        <v>View Full Record in Web of Science</v>
      </c>
    </row>
    <row r="590" spans="1:72" x14ac:dyDescent="0.15">
      <c r="A590" t="s">
        <v>72</v>
      </c>
      <c r="B590" t="s">
        <v>7126</v>
      </c>
      <c r="C590" t="s">
        <v>74</v>
      </c>
      <c r="D590" t="s">
        <v>74</v>
      </c>
      <c r="E590" t="s">
        <v>74</v>
      </c>
      <c r="F590" t="s">
        <v>7127</v>
      </c>
      <c r="G590" t="s">
        <v>74</v>
      </c>
      <c r="H590" t="s">
        <v>74</v>
      </c>
      <c r="I590" t="s">
        <v>7128</v>
      </c>
      <c r="J590" t="s">
        <v>3924</v>
      </c>
      <c r="K590" t="s">
        <v>74</v>
      </c>
      <c r="L590" t="s">
        <v>74</v>
      </c>
      <c r="M590" t="s">
        <v>78</v>
      </c>
      <c r="N590" t="s">
        <v>2737</v>
      </c>
      <c r="O590" t="s">
        <v>74</v>
      </c>
      <c r="P590" t="s">
        <v>74</v>
      </c>
      <c r="Q590" t="s">
        <v>74</v>
      </c>
      <c r="R590" t="s">
        <v>74</v>
      </c>
      <c r="S590" t="s">
        <v>74</v>
      </c>
      <c r="T590" t="s">
        <v>7129</v>
      </c>
      <c r="U590" t="s">
        <v>7130</v>
      </c>
      <c r="V590" t="s">
        <v>7131</v>
      </c>
      <c r="W590" t="s">
        <v>7132</v>
      </c>
      <c r="X590" t="s">
        <v>7133</v>
      </c>
      <c r="Y590" t="s">
        <v>7134</v>
      </c>
      <c r="Z590" t="s">
        <v>7135</v>
      </c>
      <c r="AA590" t="s">
        <v>7136</v>
      </c>
      <c r="AB590" t="s">
        <v>7137</v>
      </c>
      <c r="AC590" t="s">
        <v>74</v>
      </c>
      <c r="AD590" t="s">
        <v>74</v>
      </c>
      <c r="AE590" t="s">
        <v>74</v>
      </c>
      <c r="AF590" t="s">
        <v>74</v>
      </c>
      <c r="AG590">
        <v>61</v>
      </c>
      <c r="AH590">
        <v>32</v>
      </c>
      <c r="AI590">
        <v>36</v>
      </c>
      <c r="AJ590">
        <v>0</v>
      </c>
      <c r="AK590">
        <v>9</v>
      </c>
      <c r="AL590" t="s">
        <v>3933</v>
      </c>
      <c r="AM590" t="s">
        <v>3258</v>
      </c>
      <c r="AN590" t="s">
        <v>3934</v>
      </c>
      <c r="AO590" t="s">
        <v>3935</v>
      </c>
      <c r="AP590" t="s">
        <v>3936</v>
      </c>
      <c r="AQ590" t="s">
        <v>74</v>
      </c>
      <c r="AR590" t="s">
        <v>3937</v>
      </c>
      <c r="AS590" t="s">
        <v>3938</v>
      </c>
      <c r="AT590" t="s">
        <v>7123</v>
      </c>
      <c r="AU590">
        <v>2008</v>
      </c>
      <c r="AV590">
        <v>359</v>
      </c>
      <c r="AW590">
        <v>1</v>
      </c>
      <c r="AX590" t="s">
        <v>74</v>
      </c>
      <c r="AY590" t="s">
        <v>74</v>
      </c>
      <c r="AZ590" t="s">
        <v>74</v>
      </c>
      <c r="BA590" t="s">
        <v>74</v>
      </c>
      <c r="BB590">
        <v>67</v>
      </c>
      <c r="BC590">
        <v>76</v>
      </c>
      <c r="BD590" t="s">
        <v>74</v>
      </c>
      <c r="BE590" t="s">
        <v>7138</v>
      </c>
      <c r="BF590" t="str">
        <f>HYPERLINK("http://dx.doi.org/10.1016/j.jembe.2008.02.022","http://dx.doi.org/10.1016/j.jembe.2008.02.022")</f>
        <v>http://dx.doi.org/10.1016/j.jembe.2008.02.022</v>
      </c>
      <c r="BG590" t="s">
        <v>74</v>
      </c>
      <c r="BH590" t="s">
        <v>74</v>
      </c>
      <c r="BI590">
        <v>10</v>
      </c>
      <c r="BJ590" t="s">
        <v>3940</v>
      </c>
      <c r="BK590" t="s">
        <v>419</v>
      </c>
      <c r="BL590" t="s">
        <v>3941</v>
      </c>
      <c r="BM590" t="s">
        <v>7139</v>
      </c>
      <c r="BN590" t="s">
        <v>74</v>
      </c>
      <c r="BO590" t="s">
        <v>74</v>
      </c>
      <c r="BP590" t="s">
        <v>74</v>
      </c>
      <c r="BQ590" t="s">
        <v>74</v>
      </c>
      <c r="BR590" t="s">
        <v>101</v>
      </c>
      <c r="BS590" t="s">
        <v>7140</v>
      </c>
      <c r="BT590" t="str">
        <f>HYPERLINK("https%3A%2F%2Fwww.webofscience.com%2Fwos%2Fwoscc%2Ffull-record%2FWOS:000256104100010","View Full Record in Web of Science")</f>
        <v>View Full Record in Web of Science</v>
      </c>
    </row>
    <row r="591" spans="1:72" x14ac:dyDescent="0.15">
      <c r="A591" t="s">
        <v>72</v>
      </c>
      <c r="B591" t="s">
        <v>7141</v>
      </c>
      <c r="C591" t="s">
        <v>74</v>
      </c>
      <c r="D591" t="s">
        <v>74</v>
      </c>
      <c r="E591" t="s">
        <v>74</v>
      </c>
      <c r="F591" t="s">
        <v>7142</v>
      </c>
      <c r="G591" t="s">
        <v>74</v>
      </c>
      <c r="H591" t="s">
        <v>74</v>
      </c>
      <c r="I591" t="s">
        <v>7143</v>
      </c>
      <c r="J591" t="s">
        <v>3295</v>
      </c>
      <c r="K591" t="s">
        <v>74</v>
      </c>
      <c r="L591" t="s">
        <v>74</v>
      </c>
      <c r="M591" t="s">
        <v>78</v>
      </c>
      <c r="N591" t="s">
        <v>2737</v>
      </c>
      <c r="O591" t="s">
        <v>74</v>
      </c>
      <c r="P591" t="s">
        <v>74</v>
      </c>
      <c r="Q591" t="s">
        <v>74</v>
      </c>
      <c r="R591" t="s">
        <v>74</v>
      </c>
      <c r="S591" t="s">
        <v>74</v>
      </c>
      <c r="T591" t="s">
        <v>74</v>
      </c>
      <c r="U591" t="s">
        <v>7144</v>
      </c>
      <c r="V591" t="s">
        <v>7145</v>
      </c>
      <c r="W591" t="s">
        <v>7146</v>
      </c>
      <c r="X591" t="s">
        <v>7147</v>
      </c>
      <c r="Y591" t="s">
        <v>7148</v>
      </c>
      <c r="Z591" t="s">
        <v>7149</v>
      </c>
      <c r="AA591" t="s">
        <v>7150</v>
      </c>
      <c r="AB591" t="s">
        <v>7151</v>
      </c>
      <c r="AC591" t="s">
        <v>74</v>
      </c>
      <c r="AD591" t="s">
        <v>74</v>
      </c>
      <c r="AE591" t="s">
        <v>74</v>
      </c>
      <c r="AF591" t="s">
        <v>74</v>
      </c>
      <c r="AG591">
        <v>21</v>
      </c>
      <c r="AH591">
        <v>174</v>
      </c>
      <c r="AI591">
        <v>186</v>
      </c>
      <c r="AJ591">
        <v>1</v>
      </c>
      <c r="AK591">
        <v>25</v>
      </c>
      <c r="AL591" t="s">
        <v>3280</v>
      </c>
      <c r="AM591" t="s">
        <v>3281</v>
      </c>
      <c r="AN591" t="s">
        <v>3282</v>
      </c>
      <c r="AO591" t="s">
        <v>3304</v>
      </c>
      <c r="AP591" t="s">
        <v>3305</v>
      </c>
      <c r="AQ591" t="s">
        <v>74</v>
      </c>
      <c r="AR591" t="s">
        <v>3306</v>
      </c>
      <c r="AS591" t="s">
        <v>3307</v>
      </c>
      <c r="AT591" t="s">
        <v>7152</v>
      </c>
      <c r="AU591">
        <v>2008</v>
      </c>
      <c r="AV591">
        <v>35</v>
      </c>
      <c r="AW591">
        <v>8</v>
      </c>
      <c r="AX591" t="s">
        <v>74</v>
      </c>
      <c r="AY591" t="s">
        <v>74</v>
      </c>
      <c r="AZ591" t="s">
        <v>74</v>
      </c>
      <c r="BA591" t="s">
        <v>74</v>
      </c>
      <c r="BB591" t="s">
        <v>74</v>
      </c>
      <c r="BC591" t="s">
        <v>74</v>
      </c>
      <c r="BD591" t="s">
        <v>7153</v>
      </c>
      <c r="BE591" t="s">
        <v>7154</v>
      </c>
      <c r="BF591" t="str">
        <f>HYPERLINK("http://dx.doi.org/10.1029/2008GL033317","http://dx.doi.org/10.1029/2008GL033317")</f>
        <v>http://dx.doi.org/10.1029/2008GL033317</v>
      </c>
      <c r="BG591" t="s">
        <v>74</v>
      </c>
      <c r="BH591" t="s">
        <v>74</v>
      </c>
      <c r="BI591">
        <v>5</v>
      </c>
      <c r="BJ591" t="s">
        <v>3093</v>
      </c>
      <c r="BK591" t="s">
        <v>419</v>
      </c>
      <c r="BL591" t="s">
        <v>3094</v>
      </c>
      <c r="BM591" t="s">
        <v>7155</v>
      </c>
      <c r="BN591" t="s">
        <v>74</v>
      </c>
      <c r="BO591" t="s">
        <v>3290</v>
      </c>
      <c r="BP591" t="s">
        <v>74</v>
      </c>
      <c r="BQ591" t="s">
        <v>74</v>
      </c>
      <c r="BR591" t="s">
        <v>101</v>
      </c>
      <c r="BS591" t="s">
        <v>7156</v>
      </c>
      <c r="BT591" t="str">
        <f>HYPERLINK("https%3A%2F%2Fwww.webofscience.com%2Fwos%2Fwoscc%2Ffull-record%2FWOS:000255458800002","View Full Record in Web of Science")</f>
        <v>View Full Record in Web of Science</v>
      </c>
    </row>
    <row r="592" spans="1:72" x14ac:dyDescent="0.15">
      <c r="A592" t="s">
        <v>72</v>
      </c>
      <c r="B592" t="s">
        <v>7157</v>
      </c>
      <c r="C592" t="s">
        <v>74</v>
      </c>
      <c r="D592" t="s">
        <v>74</v>
      </c>
      <c r="E592" t="s">
        <v>74</v>
      </c>
      <c r="F592" t="s">
        <v>7158</v>
      </c>
      <c r="G592" t="s">
        <v>74</v>
      </c>
      <c r="H592" t="s">
        <v>74</v>
      </c>
      <c r="I592" t="s">
        <v>7159</v>
      </c>
      <c r="J592" t="s">
        <v>3432</v>
      </c>
      <c r="K592" t="s">
        <v>74</v>
      </c>
      <c r="L592" t="s">
        <v>74</v>
      </c>
      <c r="M592" t="s">
        <v>78</v>
      </c>
      <c r="N592" t="s">
        <v>2737</v>
      </c>
      <c r="O592" t="s">
        <v>74</v>
      </c>
      <c r="P592" t="s">
        <v>74</v>
      </c>
      <c r="Q592" t="s">
        <v>74</v>
      </c>
      <c r="R592" t="s">
        <v>74</v>
      </c>
      <c r="S592" t="s">
        <v>74</v>
      </c>
      <c r="T592" t="s">
        <v>74</v>
      </c>
      <c r="U592" t="s">
        <v>7160</v>
      </c>
      <c r="V592" t="s">
        <v>7161</v>
      </c>
      <c r="W592" t="s">
        <v>7162</v>
      </c>
      <c r="X592" t="s">
        <v>7163</v>
      </c>
      <c r="Y592" t="s">
        <v>7164</v>
      </c>
      <c r="Z592" t="s">
        <v>7165</v>
      </c>
      <c r="AA592" t="s">
        <v>74</v>
      </c>
      <c r="AB592" t="s">
        <v>74</v>
      </c>
      <c r="AC592" t="s">
        <v>74</v>
      </c>
      <c r="AD592" t="s">
        <v>74</v>
      </c>
      <c r="AE592" t="s">
        <v>74</v>
      </c>
      <c r="AF592" t="s">
        <v>74</v>
      </c>
      <c r="AG592">
        <v>30</v>
      </c>
      <c r="AH592">
        <v>26</v>
      </c>
      <c r="AI592">
        <v>27</v>
      </c>
      <c r="AJ592">
        <v>1</v>
      </c>
      <c r="AK592">
        <v>6</v>
      </c>
      <c r="AL592" t="s">
        <v>3280</v>
      </c>
      <c r="AM592" t="s">
        <v>3281</v>
      </c>
      <c r="AN592" t="s">
        <v>3282</v>
      </c>
      <c r="AO592" t="s">
        <v>3439</v>
      </c>
      <c r="AP592" t="s">
        <v>3440</v>
      </c>
      <c r="AQ592" t="s">
        <v>74</v>
      </c>
      <c r="AR592" t="s">
        <v>3441</v>
      </c>
      <c r="AS592" t="s">
        <v>3442</v>
      </c>
      <c r="AT592" t="s">
        <v>7152</v>
      </c>
      <c r="AU592">
        <v>2008</v>
      </c>
      <c r="AV592">
        <v>113</v>
      </c>
      <c r="AW592" t="s">
        <v>7113</v>
      </c>
      <c r="AX592" t="s">
        <v>74</v>
      </c>
      <c r="AY592" t="s">
        <v>74</v>
      </c>
      <c r="AZ592" t="s">
        <v>74</v>
      </c>
      <c r="BA592" t="s">
        <v>74</v>
      </c>
      <c r="BB592" t="s">
        <v>74</v>
      </c>
      <c r="BC592" t="s">
        <v>74</v>
      </c>
      <c r="BD592" t="s">
        <v>7166</v>
      </c>
      <c r="BE592" t="s">
        <v>7167</v>
      </c>
      <c r="BF592" t="str">
        <f>HYPERLINK("http://dx.doi.org/10.1029/2007JC004549","http://dx.doi.org/10.1029/2007JC004549")</f>
        <v>http://dx.doi.org/10.1029/2007JC004549</v>
      </c>
      <c r="BG592" t="s">
        <v>74</v>
      </c>
      <c r="BH592" t="s">
        <v>74</v>
      </c>
      <c r="BI592">
        <v>25</v>
      </c>
      <c r="BJ592" t="s">
        <v>3447</v>
      </c>
      <c r="BK592" t="s">
        <v>419</v>
      </c>
      <c r="BL592" t="s">
        <v>3447</v>
      </c>
      <c r="BM592" t="s">
        <v>7168</v>
      </c>
      <c r="BN592" t="s">
        <v>74</v>
      </c>
      <c r="BO592" t="s">
        <v>3359</v>
      </c>
      <c r="BP592" t="s">
        <v>74</v>
      </c>
      <c r="BQ592" t="s">
        <v>74</v>
      </c>
      <c r="BR592" t="s">
        <v>101</v>
      </c>
      <c r="BS592" t="s">
        <v>7169</v>
      </c>
      <c r="BT592" t="str">
        <f>HYPERLINK("https%3A%2F%2Fwww.webofscience.com%2Fwos%2Fwoscc%2Ffull-record%2FWOS:000255460900004","View Full Record in Web of Science")</f>
        <v>View Full Record in Web of Science</v>
      </c>
    </row>
    <row r="593" spans="1:72" x14ac:dyDescent="0.15">
      <c r="A593" t="s">
        <v>72</v>
      </c>
      <c r="B593" t="s">
        <v>7170</v>
      </c>
      <c r="C593" t="s">
        <v>74</v>
      </c>
      <c r="D593" t="s">
        <v>74</v>
      </c>
      <c r="E593" t="s">
        <v>74</v>
      </c>
      <c r="F593" t="s">
        <v>7171</v>
      </c>
      <c r="G593" t="s">
        <v>74</v>
      </c>
      <c r="H593" t="s">
        <v>74</v>
      </c>
      <c r="I593" t="s">
        <v>7172</v>
      </c>
      <c r="J593" t="s">
        <v>7173</v>
      </c>
      <c r="K593" t="s">
        <v>74</v>
      </c>
      <c r="L593" t="s">
        <v>74</v>
      </c>
      <c r="M593" t="s">
        <v>78</v>
      </c>
      <c r="N593" t="s">
        <v>2737</v>
      </c>
      <c r="O593" t="s">
        <v>74</v>
      </c>
      <c r="P593" t="s">
        <v>74</v>
      </c>
      <c r="Q593" t="s">
        <v>74</v>
      </c>
      <c r="R593" t="s">
        <v>74</v>
      </c>
      <c r="S593" t="s">
        <v>74</v>
      </c>
      <c r="T593" t="s">
        <v>7174</v>
      </c>
      <c r="U593" t="s">
        <v>7175</v>
      </c>
      <c r="V593" t="s">
        <v>7176</v>
      </c>
      <c r="W593" t="s">
        <v>7177</v>
      </c>
      <c r="X593" t="s">
        <v>7178</v>
      </c>
      <c r="Y593" t="s">
        <v>7179</v>
      </c>
      <c r="Z593" t="s">
        <v>7180</v>
      </c>
      <c r="AA593" t="s">
        <v>74</v>
      </c>
      <c r="AB593" t="s">
        <v>74</v>
      </c>
      <c r="AC593" t="s">
        <v>74</v>
      </c>
      <c r="AD593" t="s">
        <v>74</v>
      </c>
      <c r="AE593" t="s">
        <v>74</v>
      </c>
      <c r="AF593" t="s">
        <v>74</v>
      </c>
      <c r="AG593">
        <v>13</v>
      </c>
      <c r="AH593">
        <v>2</v>
      </c>
      <c r="AI593">
        <v>2</v>
      </c>
      <c r="AJ593">
        <v>0</v>
      </c>
      <c r="AK593">
        <v>10</v>
      </c>
      <c r="AL593" t="s">
        <v>7181</v>
      </c>
      <c r="AM593" t="s">
        <v>7182</v>
      </c>
      <c r="AN593" t="s">
        <v>7183</v>
      </c>
      <c r="AO593" t="s">
        <v>7184</v>
      </c>
      <c r="AP593" t="s">
        <v>74</v>
      </c>
      <c r="AQ593" t="s">
        <v>74</v>
      </c>
      <c r="AR593" t="s">
        <v>7185</v>
      </c>
      <c r="AS593" t="s">
        <v>7186</v>
      </c>
      <c r="AT593" t="s">
        <v>7187</v>
      </c>
      <c r="AU593">
        <v>2008</v>
      </c>
      <c r="AV593">
        <v>94</v>
      </c>
      <c r="AW593">
        <v>8</v>
      </c>
      <c r="AX593" t="s">
        <v>74</v>
      </c>
      <c r="AY593" t="s">
        <v>74</v>
      </c>
      <c r="AZ593" t="s">
        <v>74</v>
      </c>
      <c r="BA593" t="s">
        <v>74</v>
      </c>
      <c r="BB593">
        <v>1044</v>
      </c>
      <c r="BC593">
        <v>1048</v>
      </c>
      <c r="BD593" t="s">
        <v>74</v>
      </c>
      <c r="BE593" t="s">
        <v>74</v>
      </c>
      <c r="BF593" t="s">
        <v>74</v>
      </c>
      <c r="BG593" t="s">
        <v>74</v>
      </c>
      <c r="BH593" t="s">
        <v>74</v>
      </c>
      <c r="BI593">
        <v>5</v>
      </c>
      <c r="BJ593" t="s">
        <v>3123</v>
      </c>
      <c r="BK593" t="s">
        <v>419</v>
      </c>
      <c r="BL593" t="s">
        <v>3124</v>
      </c>
      <c r="BM593" t="s">
        <v>7188</v>
      </c>
      <c r="BN593" t="s">
        <v>74</v>
      </c>
      <c r="BO593" t="s">
        <v>74</v>
      </c>
      <c r="BP593" t="s">
        <v>74</v>
      </c>
      <c r="BQ593" t="s">
        <v>74</v>
      </c>
      <c r="BR593" t="s">
        <v>101</v>
      </c>
      <c r="BS593" t="s">
        <v>7189</v>
      </c>
      <c r="BT593" t="str">
        <f>HYPERLINK("https%3A%2F%2Fwww.webofscience.com%2Fwos%2Fwoscc%2Ffull-record%2FWOS:000255517300023","View Full Record in Web of Science")</f>
        <v>View Full Record in Web of Science</v>
      </c>
    </row>
    <row r="594" spans="1:72" x14ac:dyDescent="0.15">
      <c r="A594" t="s">
        <v>72</v>
      </c>
      <c r="B594" t="s">
        <v>7190</v>
      </c>
      <c r="C594" t="s">
        <v>74</v>
      </c>
      <c r="D594" t="s">
        <v>74</v>
      </c>
      <c r="E594" t="s">
        <v>74</v>
      </c>
      <c r="F594" t="s">
        <v>7191</v>
      </c>
      <c r="G594" t="s">
        <v>74</v>
      </c>
      <c r="H594" t="s">
        <v>74</v>
      </c>
      <c r="I594" t="s">
        <v>7192</v>
      </c>
      <c r="J594" t="s">
        <v>3270</v>
      </c>
      <c r="K594" t="s">
        <v>74</v>
      </c>
      <c r="L594" t="s">
        <v>74</v>
      </c>
      <c r="M594" t="s">
        <v>78</v>
      </c>
      <c r="N594" t="s">
        <v>2737</v>
      </c>
      <c r="O594" t="s">
        <v>74</v>
      </c>
      <c r="P594" t="s">
        <v>74</v>
      </c>
      <c r="Q594" t="s">
        <v>74</v>
      </c>
      <c r="R594" t="s">
        <v>74</v>
      </c>
      <c r="S594" t="s">
        <v>74</v>
      </c>
      <c r="T594" t="s">
        <v>7193</v>
      </c>
      <c r="U594" t="s">
        <v>7194</v>
      </c>
      <c r="V594" t="s">
        <v>7195</v>
      </c>
      <c r="W594" t="s">
        <v>7196</v>
      </c>
      <c r="X594" t="s">
        <v>7197</v>
      </c>
      <c r="Y594" t="s">
        <v>7198</v>
      </c>
      <c r="Z594" t="s">
        <v>7199</v>
      </c>
      <c r="AA594" t="s">
        <v>7200</v>
      </c>
      <c r="AB594" t="s">
        <v>7201</v>
      </c>
      <c r="AC594" t="s">
        <v>74</v>
      </c>
      <c r="AD594" t="s">
        <v>74</v>
      </c>
      <c r="AE594" t="s">
        <v>74</v>
      </c>
      <c r="AF594" t="s">
        <v>74</v>
      </c>
      <c r="AG594">
        <v>23</v>
      </c>
      <c r="AH594">
        <v>28</v>
      </c>
      <c r="AI594">
        <v>30</v>
      </c>
      <c r="AJ594">
        <v>2</v>
      </c>
      <c r="AK594">
        <v>9</v>
      </c>
      <c r="AL594" t="s">
        <v>3280</v>
      </c>
      <c r="AM594" t="s">
        <v>3281</v>
      </c>
      <c r="AN594" t="s">
        <v>3282</v>
      </c>
      <c r="AO594" t="s">
        <v>3283</v>
      </c>
      <c r="AP594" t="s">
        <v>74</v>
      </c>
      <c r="AQ594" t="s">
        <v>74</v>
      </c>
      <c r="AR594" t="s">
        <v>3284</v>
      </c>
      <c r="AS594" t="s">
        <v>3285</v>
      </c>
      <c r="AT594" t="s">
        <v>7202</v>
      </c>
      <c r="AU594">
        <v>2008</v>
      </c>
      <c r="AV594">
        <v>9</v>
      </c>
      <c r="AW594" t="s">
        <v>74</v>
      </c>
      <c r="AX594" t="s">
        <v>74</v>
      </c>
      <c r="AY594" t="s">
        <v>74</v>
      </c>
      <c r="AZ594" t="s">
        <v>74</v>
      </c>
      <c r="BA594" t="s">
        <v>74</v>
      </c>
      <c r="BB594" t="s">
        <v>74</v>
      </c>
      <c r="BC594" t="s">
        <v>74</v>
      </c>
      <c r="BD594" t="s">
        <v>7203</v>
      </c>
      <c r="BE594" t="s">
        <v>7204</v>
      </c>
      <c r="BF594" t="str">
        <f>HYPERLINK("http://dx.doi.org/10.1029/2007GC001873","http://dx.doi.org/10.1029/2007GC001873")</f>
        <v>http://dx.doi.org/10.1029/2007GC001873</v>
      </c>
      <c r="BG594" t="s">
        <v>74</v>
      </c>
      <c r="BH594" t="s">
        <v>74</v>
      </c>
      <c r="BI594">
        <v>7</v>
      </c>
      <c r="BJ594" t="s">
        <v>98</v>
      </c>
      <c r="BK594" t="s">
        <v>419</v>
      </c>
      <c r="BL594" t="s">
        <v>98</v>
      </c>
      <c r="BM594" t="s">
        <v>7205</v>
      </c>
      <c r="BN594" t="s">
        <v>74</v>
      </c>
      <c r="BO594" t="s">
        <v>74</v>
      </c>
      <c r="BP594" t="s">
        <v>74</v>
      </c>
      <c r="BQ594" t="s">
        <v>74</v>
      </c>
      <c r="BR594" t="s">
        <v>101</v>
      </c>
      <c r="BS594" t="s">
        <v>7206</v>
      </c>
      <c r="BT594" t="str">
        <f>HYPERLINK("https%3A%2F%2Fwww.webofscience.com%2Fwos%2Fwoscc%2Ffull-record%2FWOS:000255458200002","View Full Record in Web of Science")</f>
        <v>View Full Record in Web of Science</v>
      </c>
    </row>
    <row r="595" spans="1:72" x14ac:dyDescent="0.15">
      <c r="A595" t="s">
        <v>72</v>
      </c>
      <c r="B595" t="s">
        <v>7207</v>
      </c>
      <c r="C595" t="s">
        <v>74</v>
      </c>
      <c r="D595" t="s">
        <v>74</v>
      </c>
      <c r="E595" t="s">
        <v>74</v>
      </c>
      <c r="F595" t="s">
        <v>7208</v>
      </c>
      <c r="G595" t="s">
        <v>74</v>
      </c>
      <c r="H595" t="s">
        <v>74</v>
      </c>
      <c r="I595" t="s">
        <v>7209</v>
      </c>
      <c r="J595" t="s">
        <v>3540</v>
      </c>
      <c r="K595" t="s">
        <v>74</v>
      </c>
      <c r="L595" t="s">
        <v>74</v>
      </c>
      <c r="M595" t="s">
        <v>78</v>
      </c>
      <c r="N595" t="s">
        <v>2737</v>
      </c>
      <c r="O595" t="s">
        <v>74</v>
      </c>
      <c r="P595" t="s">
        <v>74</v>
      </c>
      <c r="Q595" t="s">
        <v>74</v>
      </c>
      <c r="R595" t="s">
        <v>74</v>
      </c>
      <c r="S595" t="s">
        <v>74</v>
      </c>
      <c r="T595" t="s">
        <v>74</v>
      </c>
      <c r="U595" t="s">
        <v>7210</v>
      </c>
      <c r="V595" t="s">
        <v>7211</v>
      </c>
      <c r="W595" t="s">
        <v>7212</v>
      </c>
      <c r="X595" t="s">
        <v>7213</v>
      </c>
      <c r="Y595" t="s">
        <v>7214</v>
      </c>
      <c r="Z595" t="s">
        <v>7215</v>
      </c>
      <c r="AA595" t="s">
        <v>7216</v>
      </c>
      <c r="AB595" t="s">
        <v>7217</v>
      </c>
      <c r="AC595" t="s">
        <v>7218</v>
      </c>
      <c r="AD595" t="s">
        <v>2792</v>
      </c>
      <c r="AE595" t="s">
        <v>74</v>
      </c>
      <c r="AF595" t="s">
        <v>74</v>
      </c>
      <c r="AG595">
        <v>39</v>
      </c>
      <c r="AH595">
        <v>84</v>
      </c>
      <c r="AI595">
        <v>97</v>
      </c>
      <c r="AJ595">
        <v>1</v>
      </c>
      <c r="AK595">
        <v>48</v>
      </c>
      <c r="AL595" t="s">
        <v>3549</v>
      </c>
      <c r="AM595" t="s">
        <v>3550</v>
      </c>
      <c r="AN595" t="s">
        <v>3551</v>
      </c>
      <c r="AO595" t="s">
        <v>3552</v>
      </c>
      <c r="AP595" t="s">
        <v>74</v>
      </c>
      <c r="AQ595" t="s">
        <v>74</v>
      </c>
      <c r="AR595" t="s">
        <v>3540</v>
      </c>
      <c r="AS595" t="s">
        <v>3554</v>
      </c>
      <c r="AT595" t="s">
        <v>7202</v>
      </c>
      <c r="AU595">
        <v>2008</v>
      </c>
      <c r="AV595">
        <v>452</v>
      </c>
      <c r="AW595">
        <v>7190</v>
      </c>
      <c r="AX595" t="s">
        <v>74</v>
      </c>
      <c r="AY595" t="s">
        <v>74</v>
      </c>
      <c r="AZ595" t="s">
        <v>74</v>
      </c>
      <c r="BA595" t="s">
        <v>74</v>
      </c>
      <c r="BB595">
        <v>979</v>
      </c>
      <c r="BC595" t="s">
        <v>3555</v>
      </c>
      <c r="BD595" t="s">
        <v>74</v>
      </c>
      <c r="BE595" t="s">
        <v>7219</v>
      </c>
      <c r="BF595" t="str">
        <f>HYPERLINK("http://dx.doi.org/10.1038/nature06853","http://dx.doi.org/10.1038/nature06853")</f>
        <v>http://dx.doi.org/10.1038/nature06853</v>
      </c>
      <c r="BG595" t="s">
        <v>74</v>
      </c>
      <c r="BH595" t="s">
        <v>74</v>
      </c>
      <c r="BI595">
        <v>5</v>
      </c>
      <c r="BJ595" t="s">
        <v>3123</v>
      </c>
      <c r="BK595" t="s">
        <v>419</v>
      </c>
      <c r="BL595" t="s">
        <v>3124</v>
      </c>
      <c r="BM595" t="s">
        <v>7220</v>
      </c>
      <c r="BN595">
        <v>18432242</v>
      </c>
      <c r="BO595" t="s">
        <v>74</v>
      </c>
      <c r="BP595" t="s">
        <v>74</v>
      </c>
      <c r="BQ595" t="s">
        <v>74</v>
      </c>
      <c r="BR595" t="s">
        <v>101</v>
      </c>
      <c r="BS595" t="s">
        <v>7221</v>
      </c>
      <c r="BT595" t="str">
        <f>HYPERLINK("https%3A%2F%2Fwww.webofscience.com%2Fwos%2Fwoscc%2Ffull-record%2FWOS:000255208600036","View Full Record in Web of Science")</f>
        <v>View Full Record in Web of Science</v>
      </c>
    </row>
    <row r="596" spans="1:72" x14ac:dyDescent="0.15">
      <c r="A596" t="s">
        <v>72</v>
      </c>
      <c r="B596" t="s">
        <v>7222</v>
      </c>
      <c r="C596" t="s">
        <v>74</v>
      </c>
      <c r="D596" t="s">
        <v>74</v>
      </c>
      <c r="E596" t="s">
        <v>74</v>
      </c>
      <c r="F596" t="s">
        <v>7223</v>
      </c>
      <c r="G596" t="s">
        <v>74</v>
      </c>
      <c r="H596" t="s">
        <v>74</v>
      </c>
      <c r="I596" t="s">
        <v>7224</v>
      </c>
      <c r="J596" t="s">
        <v>3594</v>
      </c>
      <c r="K596" t="s">
        <v>74</v>
      </c>
      <c r="L596" t="s">
        <v>74</v>
      </c>
      <c r="M596" t="s">
        <v>78</v>
      </c>
      <c r="N596" t="s">
        <v>2737</v>
      </c>
      <c r="O596" t="s">
        <v>74</v>
      </c>
      <c r="P596" t="s">
        <v>74</v>
      </c>
      <c r="Q596" t="s">
        <v>74</v>
      </c>
      <c r="R596" t="s">
        <v>74</v>
      </c>
      <c r="S596" t="s">
        <v>74</v>
      </c>
      <c r="T596" t="s">
        <v>74</v>
      </c>
      <c r="U596" t="s">
        <v>7225</v>
      </c>
      <c r="V596" t="s">
        <v>7226</v>
      </c>
      <c r="W596" t="s">
        <v>7227</v>
      </c>
      <c r="X596" t="s">
        <v>2108</v>
      </c>
      <c r="Y596" t="s">
        <v>7228</v>
      </c>
      <c r="Z596" t="s">
        <v>7229</v>
      </c>
      <c r="AA596" t="s">
        <v>7230</v>
      </c>
      <c r="AB596" t="s">
        <v>74</v>
      </c>
      <c r="AC596" t="s">
        <v>74</v>
      </c>
      <c r="AD596" t="s">
        <v>74</v>
      </c>
      <c r="AE596" t="s">
        <v>74</v>
      </c>
      <c r="AF596" t="s">
        <v>74</v>
      </c>
      <c r="AG596">
        <v>61</v>
      </c>
      <c r="AH596">
        <v>27</v>
      </c>
      <c r="AI596">
        <v>30</v>
      </c>
      <c r="AJ596">
        <v>1</v>
      </c>
      <c r="AK596">
        <v>11</v>
      </c>
      <c r="AL596" t="s">
        <v>3280</v>
      </c>
      <c r="AM596" t="s">
        <v>3281</v>
      </c>
      <c r="AN596" t="s">
        <v>3282</v>
      </c>
      <c r="AO596" t="s">
        <v>3605</v>
      </c>
      <c r="AP596" t="s">
        <v>3606</v>
      </c>
      <c r="AQ596" t="s">
        <v>74</v>
      </c>
      <c r="AR596" t="s">
        <v>3594</v>
      </c>
      <c r="AS596" t="s">
        <v>3607</v>
      </c>
      <c r="AT596" t="s">
        <v>7202</v>
      </c>
      <c r="AU596">
        <v>2008</v>
      </c>
      <c r="AV596">
        <v>23</v>
      </c>
      <c r="AW596">
        <v>2</v>
      </c>
      <c r="AX596" t="s">
        <v>74</v>
      </c>
      <c r="AY596" t="s">
        <v>74</v>
      </c>
      <c r="AZ596" t="s">
        <v>74</v>
      </c>
      <c r="BA596" t="s">
        <v>74</v>
      </c>
      <c r="BB596" t="s">
        <v>74</v>
      </c>
      <c r="BC596" t="s">
        <v>74</v>
      </c>
      <c r="BD596" t="s">
        <v>7231</v>
      </c>
      <c r="BE596" t="s">
        <v>7232</v>
      </c>
      <c r="BF596" t="str">
        <f>HYPERLINK("http://dx.doi.org/10.1029/2007PA001460","http://dx.doi.org/10.1029/2007PA001460")</f>
        <v>http://dx.doi.org/10.1029/2007PA001460</v>
      </c>
      <c r="BG596" t="s">
        <v>74</v>
      </c>
      <c r="BH596" t="s">
        <v>74</v>
      </c>
      <c r="BI596">
        <v>11</v>
      </c>
      <c r="BJ596" t="s">
        <v>3610</v>
      </c>
      <c r="BK596" t="s">
        <v>419</v>
      </c>
      <c r="BL596" t="s">
        <v>3611</v>
      </c>
      <c r="BM596" t="s">
        <v>7233</v>
      </c>
      <c r="BN596" t="s">
        <v>74</v>
      </c>
      <c r="BO596" t="s">
        <v>74</v>
      </c>
      <c r="BP596" t="s">
        <v>74</v>
      </c>
      <c r="BQ596" t="s">
        <v>74</v>
      </c>
      <c r="BR596" t="s">
        <v>101</v>
      </c>
      <c r="BS596" t="s">
        <v>7234</v>
      </c>
      <c r="BT596" t="str">
        <f>HYPERLINK("https%3A%2F%2Fwww.webofscience.com%2Fwos%2Fwoscc%2Ffull-record%2FWOS:000255462100001","View Full Record in Web of Science")</f>
        <v>View Full Record in Web of Science</v>
      </c>
    </row>
    <row r="597" spans="1:72" x14ac:dyDescent="0.15">
      <c r="A597" t="s">
        <v>72</v>
      </c>
      <c r="B597" t="s">
        <v>7235</v>
      </c>
      <c r="C597" t="s">
        <v>74</v>
      </c>
      <c r="D597" t="s">
        <v>74</v>
      </c>
      <c r="E597" t="s">
        <v>74</v>
      </c>
      <c r="F597" t="s">
        <v>7236</v>
      </c>
      <c r="G597" t="s">
        <v>74</v>
      </c>
      <c r="H597" t="s">
        <v>74</v>
      </c>
      <c r="I597" t="s">
        <v>7237</v>
      </c>
      <c r="J597" t="s">
        <v>3295</v>
      </c>
      <c r="K597" t="s">
        <v>74</v>
      </c>
      <c r="L597" t="s">
        <v>74</v>
      </c>
      <c r="M597" t="s">
        <v>78</v>
      </c>
      <c r="N597" t="s">
        <v>2737</v>
      </c>
      <c r="O597" t="s">
        <v>74</v>
      </c>
      <c r="P597" t="s">
        <v>74</v>
      </c>
      <c r="Q597" t="s">
        <v>74</v>
      </c>
      <c r="R597" t="s">
        <v>74</v>
      </c>
      <c r="S597" t="s">
        <v>74</v>
      </c>
      <c r="T597" t="s">
        <v>74</v>
      </c>
      <c r="U597" t="s">
        <v>7238</v>
      </c>
      <c r="V597" t="s">
        <v>7239</v>
      </c>
      <c r="W597" t="s">
        <v>7240</v>
      </c>
      <c r="X597" t="s">
        <v>7241</v>
      </c>
      <c r="Y597" t="s">
        <v>7242</v>
      </c>
      <c r="Z597" t="s">
        <v>7243</v>
      </c>
      <c r="AA597" t="s">
        <v>7244</v>
      </c>
      <c r="AB597" t="s">
        <v>7245</v>
      </c>
      <c r="AC597" t="s">
        <v>74</v>
      </c>
      <c r="AD597" t="s">
        <v>74</v>
      </c>
      <c r="AE597" t="s">
        <v>74</v>
      </c>
      <c r="AF597" t="s">
        <v>74</v>
      </c>
      <c r="AG597">
        <v>24</v>
      </c>
      <c r="AH597">
        <v>135</v>
      </c>
      <c r="AI597">
        <v>135</v>
      </c>
      <c r="AJ597">
        <v>0</v>
      </c>
      <c r="AK597">
        <v>23</v>
      </c>
      <c r="AL597" t="s">
        <v>3280</v>
      </c>
      <c r="AM597" t="s">
        <v>3281</v>
      </c>
      <c r="AN597" t="s">
        <v>3282</v>
      </c>
      <c r="AO597" t="s">
        <v>3304</v>
      </c>
      <c r="AP597" t="s">
        <v>74</v>
      </c>
      <c r="AQ597" t="s">
        <v>74</v>
      </c>
      <c r="AR597" t="s">
        <v>3306</v>
      </c>
      <c r="AS597" t="s">
        <v>3307</v>
      </c>
      <c r="AT597" t="s">
        <v>7246</v>
      </c>
      <c r="AU597">
        <v>2008</v>
      </c>
      <c r="AV597">
        <v>35</v>
      </c>
      <c r="AW597">
        <v>8</v>
      </c>
      <c r="AX597" t="s">
        <v>74</v>
      </c>
      <c r="AY597" t="s">
        <v>74</v>
      </c>
      <c r="AZ597" t="s">
        <v>74</v>
      </c>
      <c r="BA597" t="s">
        <v>74</v>
      </c>
      <c r="BB597" t="s">
        <v>74</v>
      </c>
      <c r="BC597" t="s">
        <v>74</v>
      </c>
      <c r="BD597" t="s">
        <v>7247</v>
      </c>
      <c r="BE597" t="s">
        <v>7248</v>
      </c>
      <c r="BF597" t="str">
        <f>HYPERLINK("http://dx.doi.org/10.1029/2007GL032912","http://dx.doi.org/10.1029/2007GL032912")</f>
        <v>http://dx.doi.org/10.1029/2007GL032912</v>
      </c>
      <c r="BG597" t="s">
        <v>74</v>
      </c>
      <c r="BH597" t="s">
        <v>74</v>
      </c>
      <c r="BI597">
        <v>5</v>
      </c>
      <c r="BJ597" t="s">
        <v>3093</v>
      </c>
      <c r="BK597" t="s">
        <v>419</v>
      </c>
      <c r="BL597" t="s">
        <v>3094</v>
      </c>
      <c r="BM597" t="s">
        <v>7249</v>
      </c>
      <c r="BN597" t="s">
        <v>74</v>
      </c>
      <c r="BO597" t="s">
        <v>4691</v>
      </c>
      <c r="BP597" t="s">
        <v>74</v>
      </c>
      <c r="BQ597" t="s">
        <v>74</v>
      </c>
      <c r="BR597" t="s">
        <v>101</v>
      </c>
      <c r="BS597" t="s">
        <v>7250</v>
      </c>
      <c r="BT597" t="str">
        <f>HYPERLINK("https%3A%2F%2Fwww.webofscience.com%2Fwos%2Fwoscc%2Ffull-record%2FWOS:000255458500002","View Full Record in Web of Science")</f>
        <v>View Full Record in Web of Science</v>
      </c>
    </row>
    <row r="598" spans="1:72" x14ac:dyDescent="0.15">
      <c r="A598" t="s">
        <v>72</v>
      </c>
      <c r="B598" t="s">
        <v>7251</v>
      </c>
      <c r="C598" t="s">
        <v>74</v>
      </c>
      <c r="D598" t="s">
        <v>74</v>
      </c>
      <c r="E598" t="s">
        <v>74</v>
      </c>
      <c r="F598" t="s">
        <v>7252</v>
      </c>
      <c r="G598" t="s">
        <v>74</v>
      </c>
      <c r="H598" t="s">
        <v>74</v>
      </c>
      <c r="I598" t="s">
        <v>7253</v>
      </c>
      <c r="J598" t="s">
        <v>3776</v>
      </c>
      <c r="K598" t="s">
        <v>74</v>
      </c>
      <c r="L598" t="s">
        <v>74</v>
      </c>
      <c r="M598" t="s">
        <v>78</v>
      </c>
      <c r="N598" t="s">
        <v>2737</v>
      </c>
      <c r="O598" t="s">
        <v>74</v>
      </c>
      <c r="P598" t="s">
        <v>74</v>
      </c>
      <c r="Q598" t="s">
        <v>74</v>
      </c>
      <c r="R598" t="s">
        <v>74</v>
      </c>
      <c r="S598" t="s">
        <v>74</v>
      </c>
      <c r="T598" t="s">
        <v>74</v>
      </c>
      <c r="U598" t="s">
        <v>7254</v>
      </c>
      <c r="V598" t="s">
        <v>7255</v>
      </c>
      <c r="W598" t="s">
        <v>7256</v>
      </c>
      <c r="X598" t="s">
        <v>7257</v>
      </c>
      <c r="Y598" t="s">
        <v>7258</v>
      </c>
      <c r="Z598" t="s">
        <v>7259</v>
      </c>
      <c r="AA598" t="s">
        <v>7260</v>
      </c>
      <c r="AB598" t="s">
        <v>7261</v>
      </c>
      <c r="AC598" t="s">
        <v>3785</v>
      </c>
      <c r="AD598" t="s">
        <v>3031</v>
      </c>
      <c r="AE598" t="s">
        <v>74</v>
      </c>
      <c r="AF598" t="s">
        <v>74</v>
      </c>
      <c r="AG598">
        <v>81</v>
      </c>
      <c r="AH598">
        <v>173</v>
      </c>
      <c r="AI598">
        <v>176</v>
      </c>
      <c r="AJ598">
        <v>2</v>
      </c>
      <c r="AK598">
        <v>17</v>
      </c>
      <c r="AL598" t="s">
        <v>3280</v>
      </c>
      <c r="AM598" t="s">
        <v>3281</v>
      </c>
      <c r="AN598" t="s">
        <v>3282</v>
      </c>
      <c r="AO598" t="s">
        <v>3786</v>
      </c>
      <c r="AP598" t="s">
        <v>3787</v>
      </c>
      <c r="AQ598" t="s">
        <v>74</v>
      </c>
      <c r="AR598" t="s">
        <v>3788</v>
      </c>
      <c r="AS598" t="s">
        <v>3789</v>
      </c>
      <c r="AT598" t="s">
        <v>7246</v>
      </c>
      <c r="AU598">
        <v>2008</v>
      </c>
      <c r="AV598">
        <v>113</v>
      </c>
      <c r="AW598" t="s">
        <v>7262</v>
      </c>
      <c r="AX598" t="s">
        <v>74</v>
      </c>
      <c r="AY598" t="s">
        <v>74</v>
      </c>
      <c r="AZ598" t="s">
        <v>74</v>
      </c>
      <c r="BA598" t="s">
        <v>74</v>
      </c>
      <c r="BB598" t="s">
        <v>74</v>
      </c>
      <c r="BC598" t="s">
        <v>74</v>
      </c>
      <c r="BD598" t="s">
        <v>7263</v>
      </c>
      <c r="BE598" t="s">
        <v>7264</v>
      </c>
      <c r="BF598" t="str">
        <f>HYPERLINK("http://dx.doi.org/10.1029/2007JA012678","http://dx.doi.org/10.1029/2007JA012678")</f>
        <v>http://dx.doi.org/10.1029/2007JA012678</v>
      </c>
      <c r="BG598" t="s">
        <v>74</v>
      </c>
      <c r="BH598" t="s">
        <v>74</v>
      </c>
      <c r="BI598">
        <v>17</v>
      </c>
      <c r="BJ598" t="s">
        <v>3794</v>
      </c>
      <c r="BK598" t="s">
        <v>419</v>
      </c>
      <c r="BL598" t="s">
        <v>3794</v>
      </c>
      <c r="BM598" t="s">
        <v>7265</v>
      </c>
      <c r="BN598" t="s">
        <v>74</v>
      </c>
      <c r="BO598" t="s">
        <v>3033</v>
      </c>
      <c r="BP598" t="s">
        <v>74</v>
      </c>
      <c r="BQ598" t="s">
        <v>74</v>
      </c>
      <c r="BR598" t="s">
        <v>101</v>
      </c>
      <c r="BS598" t="s">
        <v>7266</v>
      </c>
      <c r="BT598" t="str">
        <f>HYPERLINK("https%3A%2F%2Fwww.webofscience.com%2Fwos%2Fwoscc%2Ffull-record%2FWOS:000255461700003","View Full Record in Web of Science")</f>
        <v>View Full Record in Web of Science</v>
      </c>
    </row>
    <row r="599" spans="1:72" x14ac:dyDescent="0.15">
      <c r="A599" t="s">
        <v>72</v>
      </c>
      <c r="B599" t="s">
        <v>7267</v>
      </c>
      <c r="C599" t="s">
        <v>74</v>
      </c>
      <c r="D599" t="s">
        <v>74</v>
      </c>
      <c r="E599" t="s">
        <v>74</v>
      </c>
      <c r="F599" t="s">
        <v>7268</v>
      </c>
      <c r="G599" t="s">
        <v>74</v>
      </c>
      <c r="H599" t="s">
        <v>74</v>
      </c>
      <c r="I599" t="s">
        <v>7269</v>
      </c>
      <c r="J599" t="s">
        <v>3295</v>
      </c>
      <c r="K599" t="s">
        <v>74</v>
      </c>
      <c r="L599" t="s">
        <v>74</v>
      </c>
      <c r="M599" t="s">
        <v>78</v>
      </c>
      <c r="N599" t="s">
        <v>2989</v>
      </c>
      <c r="O599" t="s">
        <v>74</v>
      </c>
      <c r="P599" t="s">
        <v>74</v>
      </c>
      <c r="Q599" t="s">
        <v>74</v>
      </c>
      <c r="R599" t="s">
        <v>74</v>
      </c>
      <c r="S599" t="s">
        <v>74</v>
      </c>
      <c r="T599" t="s">
        <v>74</v>
      </c>
      <c r="U599" t="s">
        <v>7270</v>
      </c>
      <c r="V599" t="s">
        <v>74</v>
      </c>
      <c r="W599" t="s">
        <v>7271</v>
      </c>
      <c r="X599" t="s">
        <v>7272</v>
      </c>
      <c r="Y599" t="s">
        <v>7273</v>
      </c>
      <c r="Z599" t="s">
        <v>7274</v>
      </c>
      <c r="AA599" t="s">
        <v>7275</v>
      </c>
      <c r="AB599" t="s">
        <v>7276</v>
      </c>
      <c r="AC599" t="s">
        <v>74</v>
      </c>
      <c r="AD599" t="s">
        <v>74</v>
      </c>
      <c r="AE599" t="s">
        <v>74</v>
      </c>
      <c r="AF599" t="s">
        <v>74</v>
      </c>
      <c r="AG599">
        <v>18</v>
      </c>
      <c r="AH599">
        <v>8</v>
      </c>
      <c r="AI599">
        <v>9</v>
      </c>
      <c r="AJ599">
        <v>0</v>
      </c>
      <c r="AK599">
        <v>5</v>
      </c>
      <c r="AL599" t="s">
        <v>3280</v>
      </c>
      <c r="AM599" t="s">
        <v>3281</v>
      </c>
      <c r="AN599" t="s">
        <v>3282</v>
      </c>
      <c r="AO599" t="s">
        <v>3304</v>
      </c>
      <c r="AP599" t="s">
        <v>3305</v>
      </c>
      <c r="AQ599" t="s">
        <v>74</v>
      </c>
      <c r="AR599" t="s">
        <v>3306</v>
      </c>
      <c r="AS599" t="s">
        <v>3307</v>
      </c>
      <c r="AT599" t="s">
        <v>7277</v>
      </c>
      <c r="AU599">
        <v>2008</v>
      </c>
      <c r="AV599">
        <v>35</v>
      </c>
      <c r="AW599">
        <v>8</v>
      </c>
      <c r="AX599" t="s">
        <v>74</v>
      </c>
      <c r="AY599" t="s">
        <v>74</v>
      </c>
      <c r="AZ599" t="s">
        <v>74</v>
      </c>
      <c r="BA599" t="s">
        <v>74</v>
      </c>
      <c r="BB599" t="s">
        <v>74</v>
      </c>
      <c r="BC599" t="s">
        <v>74</v>
      </c>
      <c r="BD599" t="s">
        <v>7278</v>
      </c>
      <c r="BE599" t="s">
        <v>7279</v>
      </c>
      <c r="BF599" t="str">
        <f>HYPERLINK("http://dx.doi.org/10.1029/2007GL032075","http://dx.doi.org/10.1029/2007GL032075")</f>
        <v>http://dx.doi.org/10.1029/2007GL032075</v>
      </c>
      <c r="BG599" t="s">
        <v>74</v>
      </c>
      <c r="BH599" t="s">
        <v>74</v>
      </c>
      <c r="BI599">
        <v>3</v>
      </c>
      <c r="BJ599" t="s">
        <v>3093</v>
      </c>
      <c r="BK599" t="s">
        <v>419</v>
      </c>
      <c r="BL599" t="s">
        <v>3094</v>
      </c>
      <c r="BM599" t="s">
        <v>7280</v>
      </c>
      <c r="BN599" t="s">
        <v>74</v>
      </c>
      <c r="BO599" t="s">
        <v>3589</v>
      </c>
      <c r="BP599" t="s">
        <v>74</v>
      </c>
      <c r="BQ599" t="s">
        <v>74</v>
      </c>
      <c r="BR599" t="s">
        <v>101</v>
      </c>
      <c r="BS599" t="s">
        <v>7281</v>
      </c>
      <c r="BT599" t="str">
        <f>HYPERLINK("https%3A%2F%2Fwww.webofscience.com%2Fwos%2Fwoscc%2Ffull-record%2FWOS:000255458400001","View Full Record in Web of Science")</f>
        <v>View Full Record in Web of Science</v>
      </c>
    </row>
    <row r="600" spans="1:72" x14ac:dyDescent="0.15">
      <c r="A600" t="s">
        <v>72</v>
      </c>
      <c r="B600" t="s">
        <v>7282</v>
      </c>
      <c r="C600" t="s">
        <v>74</v>
      </c>
      <c r="D600" t="s">
        <v>74</v>
      </c>
      <c r="E600" t="s">
        <v>74</v>
      </c>
      <c r="F600" t="s">
        <v>7283</v>
      </c>
      <c r="G600" t="s">
        <v>74</v>
      </c>
      <c r="H600" t="s">
        <v>74</v>
      </c>
      <c r="I600" t="s">
        <v>7284</v>
      </c>
      <c r="J600" t="s">
        <v>3295</v>
      </c>
      <c r="K600" t="s">
        <v>74</v>
      </c>
      <c r="L600" t="s">
        <v>74</v>
      </c>
      <c r="M600" t="s">
        <v>78</v>
      </c>
      <c r="N600" t="s">
        <v>2989</v>
      </c>
      <c r="O600" t="s">
        <v>74</v>
      </c>
      <c r="P600" t="s">
        <v>74</v>
      </c>
      <c r="Q600" t="s">
        <v>74</v>
      </c>
      <c r="R600" t="s">
        <v>74</v>
      </c>
      <c r="S600" t="s">
        <v>74</v>
      </c>
      <c r="T600" t="s">
        <v>74</v>
      </c>
      <c r="U600" t="s">
        <v>74</v>
      </c>
      <c r="V600" t="s">
        <v>74</v>
      </c>
      <c r="W600" t="s">
        <v>7285</v>
      </c>
      <c r="X600" t="s">
        <v>7286</v>
      </c>
      <c r="Y600" t="s">
        <v>7287</v>
      </c>
      <c r="Z600" t="s">
        <v>7288</v>
      </c>
      <c r="AA600" t="s">
        <v>74</v>
      </c>
      <c r="AB600" t="s">
        <v>7289</v>
      </c>
      <c r="AC600" t="s">
        <v>74</v>
      </c>
      <c r="AD600" t="s">
        <v>74</v>
      </c>
      <c r="AE600" t="s">
        <v>74</v>
      </c>
      <c r="AF600" t="s">
        <v>74</v>
      </c>
      <c r="AG600">
        <v>3</v>
      </c>
      <c r="AH600">
        <v>3</v>
      </c>
      <c r="AI600">
        <v>3</v>
      </c>
      <c r="AJ600">
        <v>0</v>
      </c>
      <c r="AK600">
        <v>5</v>
      </c>
      <c r="AL600" t="s">
        <v>3280</v>
      </c>
      <c r="AM600" t="s">
        <v>3281</v>
      </c>
      <c r="AN600" t="s">
        <v>3282</v>
      </c>
      <c r="AO600" t="s">
        <v>3304</v>
      </c>
      <c r="AP600" t="s">
        <v>3305</v>
      </c>
      <c r="AQ600" t="s">
        <v>74</v>
      </c>
      <c r="AR600" t="s">
        <v>3306</v>
      </c>
      <c r="AS600" t="s">
        <v>3307</v>
      </c>
      <c r="AT600" t="s">
        <v>7277</v>
      </c>
      <c r="AU600">
        <v>2008</v>
      </c>
      <c r="AV600">
        <v>35</v>
      </c>
      <c r="AW600">
        <v>8</v>
      </c>
      <c r="AX600" t="s">
        <v>74</v>
      </c>
      <c r="AY600" t="s">
        <v>74</v>
      </c>
      <c r="AZ600" t="s">
        <v>74</v>
      </c>
      <c r="BA600" t="s">
        <v>74</v>
      </c>
      <c r="BB600" t="s">
        <v>74</v>
      </c>
      <c r="BC600" t="s">
        <v>74</v>
      </c>
      <c r="BD600" t="s">
        <v>7290</v>
      </c>
      <c r="BE600" t="s">
        <v>7291</v>
      </c>
      <c r="BF600" t="str">
        <f>HYPERLINK("http://dx.doi.org/10.1029/2007GL032477","http://dx.doi.org/10.1029/2007GL032477")</f>
        <v>http://dx.doi.org/10.1029/2007GL032477</v>
      </c>
      <c r="BG600" t="s">
        <v>74</v>
      </c>
      <c r="BH600" t="s">
        <v>74</v>
      </c>
      <c r="BI600">
        <v>2</v>
      </c>
      <c r="BJ600" t="s">
        <v>3093</v>
      </c>
      <c r="BK600" t="s">
        <v>419</v>
      </c>
      <c r="BL600" t="s">
        <v>3094</v>
      </c>
      <c r="BM600" t="s">
        <v>7280</v>
      </c>
      <c r="BN600" t="s">
        <v>74</v>
      </c>
      <c r="BO600" t="s">
        <v>3290</v>
      </c>
      <c r="BP600" t="s">
        <v>74</v>
      </c>
      <c r="BQ600" t="s">
        <v>74</v>
      </c>
      <c r="BR600" t="s">
        <v>101</v>
      </c>
      <c r="BS600" t="s">
        <v>7292</v>
      </c>
      <c r="BT600" t="str">
        <f>HYPERLINK("https%3A%2F%2Fwww.webofscience.com%2Fwos%2Fwoscc%2Ffull-record%2FWOS:000255458400002","View Full Record in Web of Science")</f>
        <v>View Full Record in Web of Science</v>
      </c>
    </row>
    <row r="601" spans="1:72" x14ac:dyDescent="0.15">
      <c r="A601" t="s">
        <v>72</v>
      </c>
      <c r="B601" t="s">
        <v>7293</v>
      </c>
      <c r="C601" t="s">
        <v>74</v>
      </c>
      <c r="D601" t="s">
        <v>74</v>
      </c>
      <c r="E601" t="s">
        <v>74</v>
      </c>
      <c r="F601" t="s">
        <v>7294</v>
      </c>
      <c r="G601" t="s">
        <v>74</v>
      </c>
      <c r="H601" t="s">
        <v>74</v>
      </c>
      <c r="I601" t="s">
        <v>7295</v>
      </c>
      <c r="J601" t="s">
        <v>3658</v>
      </c>
      <c r="K601" t="s">
        <v>74</v>
      </c>
      <c r="L601" t="s">
        <v>74</v>
      </c>
      <c r="M601" t="s">
        <v>78</v>
      </c>
      <c r="N601" t="s">
        <v>2737</v>
      </c>
      <c r="O601" t="s">
        <v>74</v>
      </c>
      <c r="P601" t="s">
        <v>74</v>
      </c>
      <c r="Q601" t="s">
        <v>74</v>
      </c>
      <c r="R601" t="s">
        <v>74</v>
      </c>
      <c r="S601" t="s">
        <v>74</v>
      </c>
      <c r="T601" t="s">
        <v>74</v>
      </c>
      <c r="U601" t="s">
        <v>7296</v>
      </c>
      <c r="V601" t="s">
        <v>7297</v>
      </c>
      <c r="W601" t="s">
        <v>7298</v>
      </c>
      <c r="X601" t="s">
        <v>7299</v>
      </c>
      <c r="Y601" t="s">
        <v>7300</v>
      </c>
      <c r="Z601" t="s">
        <v>74</v>
      </c>
      <c r="AA601" t="s">
        <v>7301</v>
      </c>
      <c r="AB601" t="s">
        <v>7302</v>
      </c>
      <c r="AC601" t="s">
        <v>74</v>
      </c>
      <c r="AD601" t="s">
        <v>74</v>
      </c>
      <c r="AE601" t="s">
        <v>74</v>
      </c>
      <c r="AF601" t="s">
        <v>74</v>
      </c>
      <c r="AG601">
        <v>85</v>
      </c>
      <c r="AH601">
        <v>132</v>
      </c>
      <c r="AI601">
        <v>142</v>
      </c>
      <c r="AJ601">
        <v>0</v>
      </c>
      <c r="AK601">
        <v>35</v>
      </c>
      <c r="AL601" t="s">
        <v>3280</v>
      </c>
      <c r="AM601" t="s">
        <v>3281</v>
      </c>
      <c r="AN601" t="s">
        <v>3282</v>
      </c>
      <c r="AO601" t="s">
        <v>3668</v>
      </c>
      <c r="AP601" t="s">
        <v>3669</v>
      </c>
      <c r="AQ601" t="s">
        <v>74</v>
      </c>
      <c r="AR601" t="s">
        <v>3670</v>
      </c>
      <c r="AS601" t="s">
        <v>3671</v>
      </c>
      <c r="AT601" t="s">
        <v>7277</v>
      </c>
      <c r="AU601">
        <v>2008</v>
      </c>
      <c r="AV601">
        <v>22</v>
      </c>
      <c r="AW601">
        <v>2</v>
      </c>
      <c r="AX601" t="s">
        <v>74</v>
      </c>
      <c r="AY601" t="s">
        <v>74</v>
      </c>
      <c r="AZ601" t="s">
        <v>74</v>
      </c>
      <c r="BA601" t="s">
        <v>74</v>
      </c>
      <c r="BB601" t="s">
        <v>74</v>
      </c>
      <c r="BC601" t="s">
        <v>74</v>
      </c>
      <c r="BD601" t="s">
        <v>7303</v>
      </c>
      <c r="BE601" t="s">
        <v>7304</v>
      </c>
      <c r="BF601" t="str">
        <f>HYPERLINK("http://dx.doi.org/10.1029/2007GB002984","http://dx.doi.org/10.1029/2007GB002984")</f>
        <v>http://dx.doi.org/10.1029/2007GB002984</v>
      </c>
      <c r="BG601" t="s">
        <v>74</v>
      </c>
      <c r="BH601" t="s">
        <v>74</v>
      </c>
      <c r="BI601">
        <v>13</v>
      </c>
      <c r="BJ601" t="s">
        <v>3674</v>
      </c>
      <c r="BK601" t="s">
        <v>419</v>
      </c>
      <c r="BL601" t="s">
        <v>3675</v>
      </c>
      <c r="BM601" t="s">
        <v>7305</v>
      </c>
      <c r="BN601" t="s">
        <v>74</v>
      </c>
      <c r="BO601" t="s">
        <v>3311</v>
      </c>
      <c r="BP601" t="s">
        <v>74</v>
      </c>
      <c r="BQ601" t="s">
        <v>74</v>
      </c>
      <c r="BR601" t="s">
        <v>101</v>
      </c>
      <c r="BS601" t="s">
        <v>7306</v>
      </c>
      <c r="BT601" t="str">
        <f>HYPERLINK("https%3A%2F%2Fwww.webofscience.com%2Fwos%2Fwoscc%2Ffull-record%2FWOS:000255459100001","View Full Record in Web of Science")</f>
        <v>View Full Record in Web of Science</v>
      </c>
    </row>
    <row r="602" spans="1:72" x14ac:dyDescent="0.15">
      <c r="A602" t="s">
        <v>72</v>
      </c>
      <c r="B602" t="s">
        <v>7307</v>
      </c>
      <c r="C602" t="s">
        <v>74</v>
      </c>
      <c r="D602" t="s">
        <v>74</v>
      </c>
      <c r="E602" t="s">
        <v>74</v>
      </c>
      <c r="F602" t="s">
        <v>7308</v>
      </c>
      <c r="G602" t="s">
        <v>74</v>
      </c>
      <c r="H602" t="s">
        <v>74</v>
      </c>
      <c r="I602" t="s">
        <v>7309</v>
      </c>
      <c r="J602" t="s">
        <v>7310</v>
      </c>
      <c r="K602" t="s">
        <v>74</v>
      </c>
      <c r="L602" t="s">
        <v>74</v>
      </c>
      <c r="M602" t="s">
        <v>78</v>
      </c>
      <c r="N602" t="s">
        <v>2958</v>
      </c>
      <c r="O602" t="s">
        <v>74</v>
      </c>
      <c r="P602" t="s">
        <v>74</v>
      </c>
      <c r="Q602" t="s">
        <v>74</v>
      </c>
      <c r="R602" t="s">
        <v>74</v>
      </c>
      <c r="S602" t="s">
        <v>74</v>
      </c>
      <c r="T602" t="s">
        <v>74</v>
      </c>
      <c r="U602" t="s">
        <v>7311</v>
      </c>
      <c r="V602" t="s">
        <v>7312</v>
      </c>
      <c r="W602" t="s">
        <v>7313</v>
      </c>
      <c r="X602" t="s">
        <v>7314</v>
      </c>
      <c r="Y602" t="s">
        <v>7315</v>
      </c>
      <c r="Z602" t="s">
        <v>7316</v>
      </c>
      <c r="AA602" t="s">
        <v>7317</v>
      </c>
      <c r="AB602" t="s">
        <v>7318</v>
      </c>
      <c r="AC602" t="s">
        <v>74</v>
      </c>
      <c r="AD602" t="s">
        <v>74</v>
      </c>
      <c r="AE602" t="s">
        <v>74</v>
      </c>
      <c r="AF602" t="s">
        <v>74</v>
      </c>
      <c r="AG602">
        <v>345</v>
      </c>
      <c r="AH602">
        <v>119</v>
      </c>
      <c r="AI602">
        <v>152</v>
      </c>
      <c r="AJ602">
        <v>6</v>
      </c>
      <c r="AK602">
        <v>99</v>
      </c>
      <c r="AL602" t="s">
        <v>3280</v>
      </c>
      <c r="AM602" t="s">
        <v>3281</v>
      </c>
      <c r="AN602" t="s">
        <v>3282</v>
      </c>
      <c r="AO602" t="s">
        <v>7319</v>
      </c>
      <c r="AP602" t="s">
        <v>7320</v>
      </c>
      <c r="AQ602" t="s">
        <v>74</v>
      </c>
      <c r="AR602" t="s">
        <v>7321</v>
      </c>
      <c r="AS602" t="s">
        <v>7322</v>
      </c>
      <c r="AT602" t="s">
        <v>7323</v>
      </c>
      <c r="AU602">
        <v>2008</v>
      </c>
      <c r="AV602">
        <v>46</v>
      </c>
      <c r="AW602">
        <v>2</v>
      </c>
      <c r="AX602" t="s">
        <v>74</v>
      </c>
      <c r="AY602" t="s">
        <v>74</v>
      </c>
      <c r="AZ602" t="s">
        <v>74</v>
      </c>
      <c r="BA602" t="s">
        <v>74</v>
      </c>
      <c r="BB602" t="s">
        <v>74</v>
      </c>
      <c r="BC602" t="s">
        <v>74</v>
      </c>
      <c r="BD602" t="s">
        <v>7324</v>
      </c>
      <c r="BE602" t="s">
        <v>7325</v>
      </c>
      <c r="BF602" t="str">
        <f>HYPERLINK("http://dx.doi.org/10.1029/2005RG000190","http://dx.doi.org/10.1029/2005RG000190")</f>
        <v>http://dx.doi.org/10.1029/2005RG000190</v>
      </c>
      <c r="BG602" t="s">
        <v>74</v>
      </c>
      <c r="BH602" t="s">
        <v>74</v>
      </c>
      <c r="BI602">
        <v>47</v>
      </c>
      <c r="BJ602" t="s">
        <v>98</v>
      </c>
      <c r="BK602" t="s">
        <v>419</v>
      </c>
      <c r="BL602" t="s">
        <v>98</v>
      </c>
      <c r="BM602" t="s">
        <v>7326</v>
      </c>
      <c r="BN602" t="s">
        <v>74</v>
      </c>
      <c r="BO602" t="s">
        <v>3359</v>
      </c>
      <c r="BP602" t="s">
        <v>74</v>
      </c>
      <c r="BQ602" t="s">
        <v>74</v>
      </c>
      <c r="BR602" t="s">
        <v>101</v>
      </c>
      <c r="BS602" t="s">
        <v>7327</v>
      </c>
      <c r="BT602" t="str">
        <f>HYPERLINK("https%3A%2F%2Fwww.webofscience.com%2Fwos%2Fwoscc%2Ffull-record%2FWOS:000255205200001","View Full Record in Web of Science")</f>
        <v>View Full Record in Web of Science</v>
      </c>
    </row>
    <row r="603" spans="1:72" x14ac:dyDescent="0.15">
      <c r="A603" t="s">
        <v>72</v>
      </c>
      <c r="B603" t="s">
        <v>7328</v>
      </c>
      <c r="C603" t="s">
        <v>74</v>
      </c>
      <c r="D603" t="s">
        <v>74</v>
      </c>
      <c r="E603" t="s">
        <v>74</v>
      </c>
      <c r="F603" t="s">
        <v>7329</v>
      </c>
      <c r="G603" t="s">
        <v>74</v>
      </c>
      <c r="H603" t="s">
        <v>74</v>
      </c>
      <c r="I603" t="s">
        <v>7330</v>
      </c>
      <c r="J603" t="s">
        <v>3295</v>
      </c>
      <c r="K603" t="s">
        <v>74</v>
      </c>
      <c r="L603" t="s">
        <v>74</v>
      </c>
      <c r="M603" t="s">
        <v>78</v>
      </c>
      <c r="N603" t="s">
        <v>2737</v>
      </c>
      <c r="O603" t="s">
        <v>74</v>
      </c>
      <c r="P603" t="s">
        <v>74</v>
      </c>
      <c r="Q603" t="s">
        <v>74</v>
      </c>
      <c r="R603" t="s">
        <v>74</v>
      </c>
      <c r="S603" t="s">
        <v>74</v>
      </c>
      <c r="T603" t="s">
        <v>74</v>
      </c>
      <c r="U603" t="s">
        <v>7331</v>
      </c>
      <c r="V603" t="s">
        <v>7332</v>
      </c>
      <c r="W603" t="s">
        <v>7333</v>
      </c>
      <c r="X603" t="s">
        <v>7334</v>
      </c>
      <c r="Y603" t="s">
        <v>7335</v>
      </c>
      <c r="Z603" t="s">
        <v>7336</v>
      </c>
      <c r="AA603" t="s">
        <v>7337</v>
      </c>
      <c r="AB603" t="s">
        <v>7338</v>
      </c>
      <c r="AC603" t="s">
        <v>7339</v>
      </c>
      <c r="AD603" t="s">
        <v>3604</v>
      </c>
      <c r="AE603" t="s">
        <v>74</v>
      </c>
      <c r="AF603" t="s">
        <v>74</v>
      </c>
      <c r="AG603">
        <v>14</v>
      </c>
      <c r="AH603">
        <v>176</v>
      </c>
      <c r="AI603">
        <v>190</v>
      </c>
      <c r="AJ603">
        <v>0</v>
      </c>
      <c r="AK603">
        <v>37</v>
      </c>
      <c r="AL603" t="s">
        <v>3280</v>
      </c>
      <c r="AM603" t="s">
        <v>3281</v>
      </c>
      <c r="AN603" t="s">
        <v>3282</v>
      </c>
      <c r="AO603" t="s">
        <v>3304</v>
      </c>
      <c r="AP603" t="s">
        <v>74</v>
      </c>
      <c r="AQ603" t="s">
        <v>74</v>
      </c>
      <c r="AR603" t="s">
        <v>3306</v>
      </c>
      <c r="AS603" t="s">
        <v>3307</v>
      </c>
      <c r="AT603" t="s">
        <v>7340</v>
      </c>
      <c r="AU603">
        <v>2008</v>
      </c>
      <c r="AV603">
        <v>35</v>
      </c>
      <c r="AW603">
        <v>8</v>
      </c>
      <c r="AX603" t="s">
        <v>74</v>
      </c>
      <c r="AY603" t="s">
        <v>74</v>
      </c>
      <c r="AZ603" t="s">
        <v>74</v>
      </c>
      <c r="BA603" t="s">
        <v>74</v>
      </c>
      <c r="BB603" t="s">
        <v>74</v>
      </c>
      <c r="BC603" t="s">
        <v>74</v>
      </c>
      <c r="BD603" t="s">
        <v>7341</v>
      </c>
      <c r="BE603" t="s">
        <v>7342</v>
      </c>
      <c r="BF603" t="str">
        <f>HYPERLINK("http://dx.doi.org/10.1029/2008GL033540","http://dx.doi.org/10.1029/2008GL033540")</f>
        <v>http://dx.doi.org/10.1029/2008GL033540</v>
      </c>
      <c r="BG603" t="s">
        <v>74</v>
      </c>
      <c r="BH603" t="s">
        <v>74</v>
      </c>
      <c r="BI603">
        <v>3</v>
      </c>
      <c r="BJ603" t="s">
        <v>3093</v>
      </c>
      <c r="BK603" t="s">
        <v>419</v>
      </c>
      <c r="BL603" t="s">
        <v>3094</v>
      </c>
      <c r="BM603" t="s">
        <v>7343</v>
      </c>
      <c r="BN603" t="s">
        <v>74</v>
      </c>
      <c r="BO603" t="s">
        <v>3589</v>
      </c>
      <c r="BP603" t="s">
        <v>74</v>
      </c>
      <c r="BQ603" t="s">
        <v>74</v>
      </c>
      <c r="BR603" t="s">
        <v>101</v>
      </c>
      <c r="BS603" t="s">
        <v>7344</v>
      </c>
      <c r="BT603" t="str">
        <f>HYPERLINK("https%3A%2F%2Fwww.webofscience.com%2Fwos%2Fwoscc%2Ffull-record%2FWOS:000255201700004","View Full Record in Web of Science")</f>
        <v>View Full Record in Web of Science</v>
      </c>
    </row>
    <row r="604" spans="1:72" x14ac:dyDescent="0.15">
      <c r="A604" t="s">
        <v>72</v>
      </c>
      <c r="B604" t="s">
        <v>7345</v>
      </c>
      <c r="C604" t="s">
        <v>74</v>
      </c>
      <c r="D604" t="s">
        <v>74</v>
      </c>
      <c r="E604" t="s">
        <v>74</v>
      </c>
      <c r="F604" t="s">
        <v>7346</v>
      </c>
      <c r="G604" t="s">
        <v>74</v>
      </c>
      <c r="H604" t="s">
        <v>74</v>
      </c>
      <c r="I604" t="s">
        <v>7347</v>
      </c>
      <c r="J604" t="s">
        <v>3494</v>
      </c>
      <c r="K604" t="s">
        <v>74</v>
      </c>
      <c r="L604" t="s">
        <v>74</v>
      </c>
      <c r="M604" t="s">
        <v>78</v>
      </c>
      <c r="N604" t="s">
        <v>2989</v>
      </c>
      <c r="O604" t="s">
        <v>74</v>
      </c>
      <c r="P604" t="s">
        <v>74</v>
      </c>
      <c r="Q604" t="s">
        <v>74</v>
      </c>
      <c r="R604" t="s">
        <v>74</v>
      </c>
      <c r="S604" t="s">
        <v>74</v>
      </c>
      <c r="T604" t="s">
        <v>74</v>
      </c>
      <c r="U604" t="s">
        <v>7348</v>
      </c>
      <c r="V604" t="s">
        <v>74</v>
      </c>
      <c r="W604" t="s">
        <v>4655</v>
      </c>
      <c r="X604" t="s">
        <v>2786</v>
      </c>
      <c r="Y604" t="s">
        <v>7349</v>
      </c>
      <c r="Z604" t="s">
        <v>7350</v>
      </c>
      <c r="AA604" t="s">
        <v>7351</v>
      </c>
      <c r="AB604" t="s">
        <v>7352</v>
      </c>
      <c r="AC604" t="s">
        <v>7353</v>
      </c>
      <c r="AD604" t="s">
        <v>3031</v>
      </c>
      <c r="AE604" t="s">
        <v>74</v>
      </c>
      <c r="AF604" t="s">
        <v>74</v>
      </c>
      <c r="AG604">
        <v>15</v>
      </c>
      <c r="AH604">
        <v>16</v>
      </c>
      <c r="AI604">
        <v>20</v>
      </c>
      <c r="AJ604">
        <v>0</v>
      </c>
      <c r="AK604">
        <v>12</v>
      </c>
      <c r="AL604" t="s">
        <v>3499</v>
      </c>
      <c r="AM604" t="s">
        <v>3281</v>
      </c>
      <c r="AN604" t="s">
        <v>3500</v>
      </c>
      <c r="AO604" t="s">
        <v>3501</v>
      </c>
      <c r="AP604" t="s">
        <v>3518</v>
      </c>
      <c r="AQ604" t="s">
        <v>74</v>
      </c>
      <c r="AR604" t="s">
        <v>3494</v>
      </c>
      <c r="AS604" t="s">
        <v>3502</v>
      </c>
      <c r="AT604" t="s">
        <v>7340</v>
      </c>
      <c r="AU604">
        <v>2008</v>
      </c>
      <c r="AV604">
        <v>320</v>
      </c>
      <c r="AW604">
        <v>5874</v>
      </c>
      <c r="AX604" t="s">
        <v>74</v>
      </c>
      <c r="AY604" t="s">
        <v>74</v>
      </c>
      <c r="AZ604" t="s">
        <v>74</v>
      </c>
      <c r="BA604" t="s">
        <v>74</v>
      </c>
      <c r="BB604">
        <v>323</v>
      </c>
      <c r="BC604">
        <v>324</v>
      </c>
      <c r="BD604" t="s">
        <v>74</v>
      </c>
      <c r="BE604" t="s">
        <v>7354</v>
      </c>
      <c r="BF604" t="str">
        <f>HYPERLINK("http://dx.doi.org/10.1126/science.1151611","http://dx.doi.org/10.1126/science.1151611")</f>
        <v>http://dx.doi.org/10.1126/science.1151611</v>
      </c>
      <c r="BG604" t="s">
        <v>74</v>
      </c>
      <c r="BH604" t="s">
        <v>74</v>
      </c>
      <c r="BI604">
        <v>2</v>
      </c>
      <c r="BJ604" t="s">
        <v>3123</v>
      </c>
      <c r="BK604" t="s">
        <v>419</v>
      </c>
      <c r="BL604" t="s">
        <v>3124</v>
      </c>
      <c r="BM604" t="s">
        <v>7355</v>
      </c>
      <c r="BN604">
        <v>18420919</v>
      </c>
      <c r="BO604" t="s">
        <v>74</v>
      </c>
      <c r="BP604" t="s">
        <v>74</v>
      </c>
      <c r="BQ604" t="s">
        <v>74</v>
      </c>
      <c r="BR604" t="s">
        <v>101</v>
      </c>
      <c r="BS604" t="s">
        <v>7356</v>
      </c>
      <c r="BT604" t="str">
        <f>HYPERLINK("https%3A%2F%2Fwww.webofscience.com%2Fwos%2Fwoscc%2Ffull-record%2FWOS:000255026100026","View Full Record in Web of Science")</f>
        <v>View Full Record in Web of Science</v>
      </c>
    </row>
    <row r="605" spans="1:72" x14ac:dyDescent="0.15">
      <c r="A605" t="s">
        <v>72</v>
      </c>
      <c r="B605" t="s">
        <v>7357</v>
      </c>
      <c r="C605" t="s">
        <v>74</v>
      </c>
      <c r="D605" t="s">
        <v>74</v>
      </c>
      <c r="E605" t="s">
        <v>74</v>
      </c>
      <c r="F605" t="s">
        <v>7358</v>
      </c>
      <c r="G605" t="s">
        <v>74</v>
      </c>
      <c r="H605" t="s">
        <v>74</v>
      </c>
      <c r="I605" t="s">
        <v>7359</v>
      </c>
      <c r="J605" t="s">
        <v>7360</v>
      </c>
      <c r="K605" t="s">
        <v>74</v>
      </c>
      <c r="L605" t="s">
        <v>74</v>
      </c>
      <c r="M605" t="s">
        <v>78</v>
      </c>
      <c r="N605" t="s">
        <v>2958</v>
      </c>
      <c r="O605" t="s">
        <v>74</v>
      </c>
      <c r="P605" t="s">
        <v>74</v>
      </c>
      <c r="Q605" t="s">
        <v>74</v>
      </c>
      <c r="R605" t="s">
        <v>74</v>
      </c>
      <c r="S605" t="s">
        <v>74</v>
      </c>
      <c r="T605" t="s">
        <v>7361</v>
      </c>
      <c r="U605" t="s">
        <v>7362</v>
      </c>
      <c r="V605" t="s">
        <v>7363</v>
      </c>
      <c r="W605" t="s">
        <v>7364</v>
      </c>
      <c r="X605" t="s">
        <v>7365</v>
      </c>
      <c r="Y605" t="s">
        <v>7366</v>
      </c>
      <c r="Z605" t="s">
        <v>7367</v>
      </c>
      <c r="AA605" t="s">
        <v>74</v>
      </c>
      <c r="AB605" t="s">
        <v>74</v>
      </c>
      <c r="AC605" t="s">
        <v>74</v>
      </c>
      <c r="AD605" t="s">
        <v>74</v>
      </c>
      <c r="AE605" t="s">
        <v>74</v>
      </c>
      <c r="AF605" t="s">
        <v>74</v>
      </c>
      <c r="AG605">
        <v>115</v>
      </c>
      <c r="AH605">
        <v>13</v>
      </c>
      <c r="AI605">
        <v>16</v>
      </c>
      <c r="AJ605">
        <v>0</v>
      </c>
      <c r="AK605">
        <v>4</v>
      </c>
      <c r="AL605" t="s">
        <v>7368</v>
      </c>
      <c r="AM605" t="s">
        <v>7369</v>
      </c>
      <c r="AN605" t="s">
        <v>7370</v>
      </c>
      <c r="AO605" t="s">
        <v>7371</v>
      </c>
      <c r="AP605" t="s">
        <v>7372</v>
      </c>
      <c r="AQ605" t="s">
        <v>74</v>
      </c>
      <c r="AR605" t="s">
        <v>7360</v>
      </c>
      <c r="AS605" t="s">
        <v>7373</v>
      </c>
      <c r="AT605" t="s">
        <v>7340</v>
      </c>
      <c r="AU605">
        <v>2008</v>
      </c>
      <c r="AV605" t="s">
        <v>74</v>
      </c>
      <c r="AW605">
        <v>1752</v>
      </c>
      <c r="AX605" t="s">
        <v>74</v>
      </c>
      <c r="AY605" t="s">
        <v>74</v>
      </c>
      <c r="AZ605" t="s">
        <v>74</v>
      </c>
      <c r="BA605" t="s">
        <v>74</v>
      </c>
      <c r="BB605">
        <v>1</v>
      </c>
      <c r="BC605">
        <v>40</v>
      </c>
      <c r="BD605" t="s">
        <v>74</v>
      </c>
      <c r="BE605" t="s">
        <v>74</v>
      </c>
      <c r="BF605" t="s">
        <v>74</v>
      </c>
      <c r="BG605" t="s">
        <v>74</v>
      </c>
      <c r="BH605" t="s">
        <v>74</v>
      </c>
      <c r="BI605">
        <v>40</v>
      </c>
      <c r="BJ605" t="s">
        <v>3203</v>
      </c>
      <c r="BK605" t="s">
        <v>419</v>
      </c>
      <c r="BL605" t="s">
        <v>3203</v>
      </c>
      <c r="BM605" t="s">
        <v>7374</v>
      </c>
      <c r="BN605" t="s">
        <v>74</v>
      </c>
      <c r="BO605" t="s">
        <v>74</v>
      </c>
      <c r="BP605" t="s">
        <v>74</v>
      </c>
      <c r="BQ605" t="s">
        <v>74</v>
      </c>
      <c r="BR605" t="s">
        <v>101</v>
      </c>
      <c r="BS605" t="s">
        <v>7375</v>
      </c>
      <c r="BT605" t="str">
        <f>HYPERLINK("https%3A%2F%2Fwww.webofscience.com%2Fwos%2Fwoscc%2Ffull-record%2FWOS:000255070800001","View Full Record in Web of Science")</f>
        <v>View Full Record in Web of Science</v>
      </c>
    </row>
    <row r="606" spans="1:72" x14ac:dyDescent="0.15">
      <c r="A606" t="s">
        <v>72</v>
      </c>
      <c r="B606" t="s">
        <v>7376</v>
      </c>
      <c r="C606" t="s">
        <v>74</v>
      </c>
      <c r="D606" t="s">
        <v>74</v>
      </c>
      <c r="E606" t="s">
        <v>74</v>
      </c>
      <c r="F606" t="s">
        <v>7377</v>
      </c>
      <c r="G606" t="s">
        <v>74</v>
      </c>
      <c r="H606" t="s">
        <v>74</v>
      </c>
      <c r="I606" t="s">
        <v>7378</v>
      </c>
      <c r="J606" t="s">
        <v>3396</v>
      </c>
      <c r="K606" t="s">
        <v>74</v>
      </c>
      <c r="L606" t="s">
        <v>74</v>
      </c>
      <c r="M606" t="s">
        <v>78</v>
      </c>
      <c r="N606" t="s">
        <v>2737</v>
      </c>
      <c r="O606" t="s">
        <v>74</v>
      </c>
      <c r="P606" t="s">
        <v>74</v>
      </c>
      <c r="Q606" t="s">
        <v>74</v>
      </c>
      <c r="R606" t="s">
        <v>74</v>
      </c>
      <c r="S606" t="s">
        <v>74</v>
      </c>
      <c r="T606" t="s">
        <v>74</v>
      </c>
      <c r="U606" t="s">
        <v>7379</v>
      </c>
      <c r="V606" t="s">
        <v>7380</v>
      </c>
      <c r="W606" t="s">
        <v>7381</v>
      </c>
      <c r="X606" t="s">
        <v>867</v>
      </c>
      <c r="Y606" t="s">
        <v>7382</v>
      </c>
      <c r="Z606" t="s">
        <v>7383</v>
      </c>
      <c r="AA606" t="s">
        <v>74</v>
      </c>
      <c r="AB606" t="s">
        <v>74</v>
      </c>
      <c r="AC606" t="s">
        <v>74</v>
      </c>
      <c r="AD606" t="s">
        <v>74</v>
      </c>
      <c r="AE606" t="s">
        <v>74</v>
      </c>
      <c r="AF606" t="s">
        <v>74</v>
      </c>
      <c r="AG606">
        <v>71</v>
      </c>
      <c r="AH606">
        <v>6</v>
      </c>
      <c r="AI606">
        <v>7</v>
      </c>
      <c r="AJ606">
        <v>0</v>
      </c>
      <c r="AK606">
        <v>8</v>
      </c>
      <c r="AL606" t="s">
        <v>3280</v>
      </c>
      <c r="AM606" t="s">
        <v>3281</v>
      </c>
      <c r="AN606" t="s">
        <v>3282</v>
      </c>
      <c r="AO606" t="s">
        <v>3406</v>
      </c>
      <c r="AP606" t="s">
        <v>3407</v>
      </c>
      <c r="AQ606" t="s">
        <v>74</v>
      </c>
      <c r="AR606" t="s">
        <v>3408</v>
      </c>
      <c r="AS606" t="s">
        <v>3409</v>
      </c>
      <c r="AT606" t="s">
        <v>7384</v>
      </c>
      <c r="AU606">
        <v>2008</v>
      </c>
      <c r="AV606">
        <v>113</v>
      </c>
      <c r="AW606" t="s">
        <v>7385</v>
      </c>
      <c r="AX606" t="s">
        <v>74</v>
      </c>
      <c r="AY606" t="s">
        <v>74</v>
      </c>
      <c r="AZ606" t="s">
        <v>74</v>
      </c>
      <c r="BA606" t="s">
        <v>74</v>
      </c>
      <c r="BB606" t="s">
        <v>74</v>
      </c>
      <c r="BC606" t="s">
        <v>74</v>
      </c>
      <c r="BD606" t="s">
        <v>7386</v>
      </c>
      <c r="BE606" t="s">
        <v>7387</v>
      </c>
      <c r="BF606" t="str">
        <f>HYPERLINK("http://dx.doi.org/10.1029/2007JD008634","http://dx.doi.org/10.1029/2007JD008634")</f>
        <v>http://dx.doi.org/10.1029/2007JD008634</v>
      </c>
      <c r="BG606" t="s">
        <v>74</v>
      </c>
      <c r="BH606" t="s">
        <v>74</v>
      </c>
      <c r="BI606">
        <v>13</v>
      </c>
      <c r="BJ606" t="s">
        <v>3071</v>
      </c>
      <c r="BK606" t="s">
        <v>419</v>
      </c>
      <c r="BL606" t="s">
        <v>3071</v>
      </c>
      <c r="BM606" t="s">
        <v>7388</v>
      </c>
      <c r="BN606" t="s">
        <v>74</v>
      </c>
      <c r="BO606" t="s">
        <v>3290</v>
      </c>
      <c r="BP606" t="s">
        <v>74</v>
      </c>
      <c r="BQ606" t="s">
        <v>74</v>
      </c>
      <c r="BR606" t="s">
        <v>101</v>
      </c>
      <c r="BS606" t="s">
        <v>7389</v>
      </c>
      <c r="BT606" t="str">
        <f>HYPERLINK("https%3A%2F%2Fwww.webofscience.com%2Fwos%2Fwoscc%2Ffull-record%2FWOS:000255202400001","View Full Record in Web of Science")</f>
        <v>View Full Record in Web of Science</v>
      </c>
    </row>
    <row r="607" spans="1:72" x14ac:dyDescent="0.15">
      <c r="A607" t="s">
        <v>72</v>
      </c>
      <c r="B607" t="s">
        <v>7390</v>
      </c>
      <c r="C607" t="s">
        <v>74</v>
      </c>
      <c r="D607" t="s">
        <v>74</v>
      </c>
      <c r="E607" t="s">
        <v>74</v>
      </c>
      <c r="F607" t="s">
        <v>7391</v>
      </c>
      <c r="G607" t="s">
        <v>74</v>
      </c>
      <c r="H607" t="s">
        <v>74</v>
      </c>
      <c r="I607" t="s">
        <v>7392</v>
      </c>
      <c r="J607" t="s">
        <v>7393</v>
      </c>
      <c r="K607" t="s">
        <v>74</v>
      </c>
      <c r="L607" t="s">
        <v>74</v>
      </c>
      <c r="M607" t="s">
        <v>78</v>
      </c>
      <c r="N607" t="s">
        <v>2737</v>
      </c>
      <c r="O607" t="s">
        <v>74</v>
      </c>
      <c r="P607" t="s">
        <v>74</v>
      </c>
      <c r="Q607" t="s">
        <v>74</v>
      </c>
      <c r="R607" t="s">
        <v>74</v>
      </c>
      <c r="S607" t="s">
        <v>74</v>
      </c>
      <c r="T607" t="s">
        <v>7394</v>
      </c>
      <c r="U607" t="s">
        <v>7395</v>
      </c>
      <c r="V607" t="s">
        <v>7396</v>
      </c>
      <c r="W607" t="s">
        <v>7397</v>
      </c>
      <c r="X607" t="s">
        <v>7398</v>
      </c>
      <c r="Y607" t="s">
        <v>7399</v>
      </c>
      <c r="Z607" t="s">
        <v>7400</v>
      </c>
      <c r="AA607" t="s">
        <v>7401</v>
      </c>
      <c r="AB607" t="s">
        <v>7402</v>
      </c>
      <c r="AC607" t="s">
        <v>74</v>
      </c>
      <c r="AD607" t="s">
        <v>74</v>
      </c>
      <c r="AE607" t="s">
        <v>74</v>
      </c>
      <c r="AF607" t="s">
        <v>74</v>
      </c>
      <c r="AG607">
        <v>58</v>
      </c>
      <c r="AH607">
        <v>18</v>
      </c>
      <c r="AI607">
        <v>21</v>
      </c>
      <c r="AJ607">
        <v>1</v>
      </c>
      <c r="AK607">
        <v>20</v>
      </c>
      <c r="AL607" t="s">
        <v>3257</v>
      </c>
      <c r="AM607" t="s">
        <v>3258</v>
      </c>
      <c r="AN607" t="s">
        <v>3259</v>
      </c>
      <c r="AO607" t="s">
        <v>7403</v>
      </c>
      <c r="AP607" t="s">
        <v>74</v>
      </c>
      <c r="AQ607" t="s">
        <v>74</v>
      </c>
      <c r="AR607" t="s">
        <v>7404</v>
      </c>
      <c r="AS607" t="s">
        <v>7405</v>
      </c>
      <c r="AT607" t="s">
        <v>7384</v>
      </c>
      <c r="AU607">
        <v>2008</v>
      </c>
      <c r="AV607">
        <v>109</v>
      </c>
      <c r="AW607" t="s">
        <v>3263</v>
      </c>
      <c r="AX607" t="s">
        <v>74</v>
      </c>
      <c r="AY607" t="s">
        <v>74</v>
      </c>
      <c r="AZ607" t="s">
        <v>74</v>
      </c>
      <c r="BA607" t="s">
        <v>74</v>
      </c>
      <c r="BB607">
        <v>226</v>
      </c>
      <c r="BC607">
        <v>237</v>
      </c>
      <c r="BD607" t="s">
        <v>74</v>
      </c>
      <c r="BE607" t="s">
        <v>7406</v>
      </c>
      <c r="BF607" t="str">
        <f>HYPERLINK("http://dx.doi.org/10.1016/j.marchem.2008.01.002","http://dx.doi.org/10.1016/j.marchem.2008.01.002")</f>
        <v>http://dx.doi.org/10.1016/j.marchem.2008.01.002</v>
      </c>
      <c r="BG607" t="s">
        <v>74</v>
      </c>
      <c r="BH607" t="s">
        <v>74</v>
      </c>
      <c r="BI607">
        <v>12</v>
      </c>
      <c r="BJ607" t="s">
        <v>7407</v>
      </c>
      <c r="BK607" t="s">
        <v>419</v>
      </c>
      <c r="BL607" t="s">
        <v>7408</v>
      </c>
      <c r="BM607" t="s">
        <v>7409</v>
      </c>
      <c r="BN607" t="s">
        <v>74</v>
      </c>
      <c r="BO607" t="s">
        <v>74</v>
      </c>
      <c r="BP607" t="s">
        <v>74</v>
      </c>
      <c r="BQ607" t="s">
        <v>74</v>
      </c>
      <c r="BR607" t="s">
        <v>101</v>
      </c>
      <c r="BS607" t="s">
        <v>7410</v>
      </c>
      <c r="BT607" t="str">
        <f>HYPERLINK("https%3A%2F%2Fwww.webofscience.com%2Fwos%2Fwoscc%2Ffull-record%2FWOS:000256157700005","View Full Record in Web of Science")</f>
        <v>View Full Record in Web of Science</v>
      </c>
    </row>
    <row r="608" spans="1:72" x14ac:dyDescent="0.15">
      <c r="A608" t="s">
        <v>72</v>
      </c>
      <c r="B608" t="s">
        <v>7411</v>
      </c>
      <c r="C608" t="s">
        <v>74</v>
      </c>
      <c r="D608" t="s">
        <v>74</v>
      </c>
      <c r="E608" t="s">
        <v>74</v>
      </c>
      <c r="F608" t="s">
        <v>7412</v>
      </c>
      <c r="G608" t="s">
        <v>74</v>
      </c>
      <c r="H608" t="s">
        <v>74</v>
      </c>
      <c r="I608" t="s">
        <v>7413</v>
      </c>
      <c r="J608" t="s">
        <v>3295</v>
      </c>
      <c r="K608" t="s">
        <v>74</v>
      </c>
      <c r="L608" t="s">
        <v>74</v>
      </c>
      <c r="M608" t="s">
        <v>78</v>
      </c>
      <c r="N608" t="s">
        <v>2737</v>
      </c>
      <c r="O608" t="s">
        <v>74</v>
      </c>
      <c r="P608" t="s">
        <v>74</v>
      </c>
      <c r="Q608" t="s">
        <v>74</v>
      </c>
      <c r="R608" t="s">
        <v>74</v>
      </c>
      <c r="S608" t="s">
        <v>74</v>
      </c>
      <c r="T608" t="s">
        <v>74</v>
      </c>
      <c r="U608" t="s">
        <v>7414</v>
      </c>
      <c r="V608" t="s">
        <v>7415</v>
      </c>
      <c r="W608" t="s">
        <v>7416</v>
      </c>
      <c r="X608" t="s">
        <v>7417</v>
      </c>
      <c r="Y608" t="s">
        <v>7418</v>
      </c>
      <c r="Z608" t="s">
        <v>7419</v>
      </c>
      <c r="AA608" t="s">
        <v>7420</v>
      </c>
      <c r="AB608" t="s">
        <v>7421</v>
      </c>
      <c r="AC608" t="s">
        <v>74</v>
      </c>
      <c r="AD608" t="s">
        <v>74</v>
      </c>
      <c r="AE608" t="s">
        <v>74</v>
      </c>
      <c r="AF608" t="s">
        <v>74</v>
      </c>
      <c r="AG608">
        <v>26</v>
      </c>
      <c r="AH608">
        <v>98</v>
      </c>
      <c r="AI608">
        <v>106</v>
      </c>
      <c r="AJ608">
        <v>3</v>
      </c>
      <c r="AK608">
        <v>15</v>
      </c>
      <c r="AL608" t="s">
        <v>3280</v>
      </c>
      <c r="AM608" t="s">
        <v>3281</v>
      </c>
      <c r="AN608" t="s">
        <v>3282</v>
      </c>
      <c r="AO608" t="s">
        <v>3304</v>
      </c>
      <c r="AP608" t="s">
        <v>3305</v>
      </c>
      <c r="AQ608" t="s">
        <v>74</v>
      </c>
      <c r="AR608" t="s">
        <v>3306</v>
      </c>
      <c r="AS608" t="s">
        <v>3307</v>
      </c>
      <c r="AT608" t="s">
        <v>7422</v>
      </c>
      <c r="AU608">
        <v>2008</v>
      </c>
      <c r="AV608">
        <v>35</v>
      </c>
      <c r="AW608">
        <v>7</v>
      </c>
      <c r="AX608" t="s">
        <v>74</v>
      </c>
      <c r="AY608" t="s">
        <v>74</v>
      </c>
      <c r="AZ608" t="s">
        <v>74</v>
      </c>
      <c r="BA608" t="s">
        <v>74</v>
      </c>
      <c r="BB608" t="s">
        <v>74</v>
      </c>
      <c r="BC608" t="s">
        <v>74</v>
      </c>
      <c r="BD608" t="s">
        <v>7423</v>
      </c>
      <c r="BE608" t="s">
        <v>7424</v>
      </c>
      <c r="BF608" t="str">
        <f>HYPERLINK("http://dx.doi.org/10.1029/2008GL033382","http://dx.doi.org/10.1029/2008GL033382")</f>
        <v>http://dx.doi.org/10.1029/2008GL033382</v>
      </c>
      <c r="BG608" t="s">
        <v>74</v>
      </c>
      <c r="BH608" t="s">
        <v>74</v>
      </c>
      <c r="BI608">
        <v>6</v>
      </c>
      <c r="BJ608" t="s">
        <v>3093</v>
      </c>
      <c r="BK608" t="s">
        <v>419</v>
      </c>
      <c r="BL608" t="s">
        <v>3094</v>
      </c>
      <c r="BM608" t="s">
        <v>7425</v>
      </c>
      <c r="BN608" t="s">
        <v>74</v>
      </c>
      <c r="BO608" t="s">
        <v>3359</v>
      </c>
      <c r="BP608" t="s">
        <v>74</v>
      </c>
      <c r="BQ608" t="s">
        <v>74</v>
      </c>
      <c r="BR608" t="s">
        <v>101</v>
      </c>
      <c r="BS608" t="s">
        <v>7426</v>
      </c>
      <c r="BT608" t="str">
        <f>HYPERLINK("https%3A%2F%2Fwww.webofscience.com%2Fwos%2Fwoscc%2Ffull-record%2FWOS:000255201300004","View Full Record in Web of Science")</f>
        <v>View Full Record in Web of Science</v>
      </c>
    </row>
    <row r="609" spans="1:72" x14ac:dyDescent="0.15">
      <c r="A609" t="s">
        <v>72</v>
      </c>
      <c r="B609" t="s">
        <v>7427</v>
      </c>
      <c r="C609" t="s">
        <v>74</v>
      </c>
      <c r="D609" t="s">
        <v>74</v>
      </c>
      <c r="E609" t="s">
        <v>74</v>
      </c>
      <c r="F609" t="s">
        <v>7428</v>
      </c>
      <c r="G609" t="s">
        <v>74</v>
      </c>
      <c r="H609" t="s">
        <v>74</v>
      </c>
      <c r="I609" t="s">
        <v>7429</v>
      </c>
      <c r="J609" t="s">
        <v>3706</v>
      </c>
      <c r="K609" t="s">
        <v>74</v>
      </c>
      <c r="L609" t="s">
        <v>74</v>
      </c>
      <c r="M609" t="s">
        <v>78</v>
      </c>
      <c r="N609" t="s">
        <v>2737</v>
      </c>
      <c r="O609" t="s">
        <v>74</v>
      </c>
      <c r="P609" t="s">
        <v>74</v>
      </c>
      <c r="Q609" t="s">
        <v>74</v>
      </c>
      <c r="R609" t="s">
        <v>74</v>
      </c>
      <c r="S609" t="s">
        <v>74</v>
      </c>
      <c r="T609" t="s">
        <v>74</v>
      </c>
      <c r="U609" t="s">
        <v>7430</v>
      </c>
      <c r="V609" t="s">
        <v>7431</v>
      </c>
      <c r="W609" t="s">
        <v>7432</v>
      </c>
      <c r="X609" t="s">
        <v>7433</v>
      </c>
      <c r="Y609" t="s">
        <v>7434</v>
      </c>
      <c r="Z609" t="s">
        <v>7435</v>
      </c>
      <c r="AA609" t="s">
        <v>7436</v>
      </c>
      <c r="AB609" t="s">
        <v>7437</v>
      </c>
      <c r="AC609" t="s">
        <v>4867</v>
      </c>
      <c r="AD609" t="s">
        <v>2792</v>
      </c>
      <c r="AE609" t="s">
        <v>74</v>
      </c>
      <c r="AF609" t="s">
        <v>74</v>
      </c>
      <c r="AG609">
        <v>48</v>
      </c>
      <c r="AH609">
        <v>52</v>
      </c>
      <c r="AI609">
        <v>58</v>
      </c>
      <c r="AJ609">
        <v>2</v>
      </c>
      <c r="AK609">
        <v>15</v>
      </c>
      <c r="AL609" t="s">
        <v>3716</v>
      </c>
      <c r="AM609" t="s">
        <v>3717</v>
      </c>
      <c r="AN609" t="s">
        <v>3738</v>
      </c>
      <c r="AO609" t="s">
        <v>3719</v>
      </c>
      <c r="AP609" t="s">
        <v>74</v>
      </c>
      <c r="AQ609" t="s">
        <v>74</v>
      </c>
      <c r="AR609" t="s">
        <v>3721</v>
      </c>
      <c r="AS609" t="s">
        <v>3722</v>
      </c>
      <c r="AT609" t="s">
        <v>7422</v>
      </c>
      <c r="AU609">
        <v>2008</v>
      </c>
      <c r="AV609">
        <v>21</v>
      </c>
      <c r="AW609">
        <v>8</v>
      </c>
      <c r="AX609" t="s">
        <v>74</v>
      </c>
      <c r="AY609" t="s">
        <v>74</v>
      </c>
      <c r="AZ609" t="s">
        <v>74</v>
      </c>
      <c r="BA609" t="s">
        <v>74</v>
      </c>
      <c r="BB609">
        <v>1649</v>
      </c>
      <c r="BC609">
        <v>1668</v>
      </c>
      <c r="BD609" t="s">
        <v>74</v>
      </c>
      <c r="BE609" t="s">
        <v>7438</v>
      </c>
      <c r="BF609" t="str">
        <f>HYPERLINK("http://dx.doi.org/10.1175/2007JCLI1695.1","http://dx.doi.org/10.1175/2007JCLI1695.1")</f>
        <v>http://dx.doi.org/10.1175/2007JCLI1695.1</v>
      </c>
      <c r="BG609" t="s">
        <v>74</v>
      </c>
      <c r="BH609" t="s">
        <v>74</v>
      </c>
      <c r="BI609">
        <v>20</v>
      </c>
      <c r="BJ609" t="s">
        <v>3071</v>
      </c>
      <c r="BK609" t="s">
        <v>419</v>
      </c>
      <c r="BL609" t="s">
        <v>3071</v>
      </c>
      <c r="BM609" t="s">
        <v>7439</v>
      </c>
      <c r="BN609" t="s">
        <v>74</v>
      </c>
      <c r="BO609" t="s">
        <v>4667</v>
      </c>
      <c r="BP609" t="s">
        <v>74</v>
      </c>
      <c r="BQ609" t="s">
        <v>74</v>
      </c>
      <c r="BR609" t="s">
        <v>101</v>
      </c>
      <c r="BS609" t="s">
        <v>7440</v>
      </c>
      <c r="BT609" t="str">
        <f>HYPERLINK("https%3A%2F%2Fwww.webofscience.com%2Fwos%2Fwoscc%2Ffull-record%2FWOS:000255169300001","View Full Record in Web of Science")</f>
        <v>View Full Record in Web of Science</v>
      </c>
    </row>
    <row r="610" spans="1:72" x14ac:dyDescent="0.15">
      <c r="A610" t="s">
        <v>72</v>
      </c>
      <c r="B610" t="s">
        <v>7441</v>
      </c>
      <c r="C610" t="s">
        <v>74</v>
      </c>
      <c r="D610" t="s">
        <v>74</v>
      </c>
      <c r="E610" t="s">
        <v>74</v>
      </c>
      <c r="F610" t="s">
        <v>7442</v>
      </c>
      <c r="G610" t="s">
        <v>74</v>
      </c>
      <c r="H610" t="s">
        <v>74</v>
      </c>
      <c r="I610" t="s">
        <v>7443</v>
      </c>
      <c r="J610" t="s">
        <v>7444</v>
      </c>
      <c r="K610" t="s">
        <v>74</v>
      </c>
      <c r="L610" t="s">
        <v>74</v>
      </c>
      <c r="M610" t="s">
        <v>78</v>
      </c>
      <c r="N610" t="s">
        <v>2737</v>
      </c>
      <c r="O610" t="s">
        <v>74</v>
      </c>
      <c r="P610" t="s">
        <v>74</v>
      </c>
      <c r="Q610" t="s">
        <v>74</v>
      </c>
      <c r="R610" t="s">
        <v>74</v>
      </c>
      <c r="S610" t="s">
        <v>74</v>
      </c>
      <c r="T610" t="s">
        <v>7445</v>
      </c>
      <c r="U610" t="s">
        <v>7446</v>
      </c>
      <c r="V610" t="s">
        <v>7447</v>
      </c>
      <c r="W610" t="s">
        <v>7448</v>
      </c>
      <c r="X610" t="s">
        <v>5308</v>
      </c>
      <c r="Y610" t="s">
        <v>7449</v>
      </c>
      <c r="Z610" t="s">
        <v>7450</v>
      </c>
      <c r="AA610" t="s">
        <v>7451</v>
      </c>
      <c r="AB610" t="s">
        <v>7452</v>
      </c>
      <c r="AC610" t="s">
        <v>74</v>
      </c>
      <c r="AD610" t="s">
        <v>74</v>
      </c>
      <c r="AE610" t="s">
        <v>74</v>
      </c>
      <c r="AF610" t="s">
        <v>74</v>
      </c>
      <c r="AG610">
        <v>49</v>
      </c>
      <c r="AH610">
        <v>27</v>
      </c>
      <c r="AI610">
        <v>30</v>
      </c>
      <c r="AJ610">
        <v>0</v>
      </c>
      <c r="AK610">
        <v>13</v>
      </c>
      <c r="AL610" t="s">
        <v>3979</v>
      </c>
      <c r="AM610" t="s">
        <v>2747</v>
      </c>
      <c r="AN610" t="s">
        <v>4520</v>
      </c>
      <c r="AO610" t="s">
        <v>7453</v>
      </c>
      <c r="AP610" t="s">
        <v>7454</v>
      </c>
      <c r="AQ610" t="s">
        <v>74</v>
      </c>
      <c r="AR610" t="s">
        <v>7455</v>
      </c>
      <c r="AS610" t="s">
        <v>7456</v>
      </c>
      <c r="AT610" t="s">
        <v>7422</v>
      </c>
      <c r="AU610">
        <v>2008</v>
      </c>
      <c r="AV610">
        <v>112</v>
      </c>
      <c r="AW610">
        <v>4</v>
      </c>
      <c r="AX610" t="s">
        <v>74</v>
      </c>
      <c r="AY610" t="s">
        <v>74</v>
      </c>
      <c r="AZ610" t="s">
        <v>74</v>
      </c>
      <c r="BA610" t="s">
        <v>74</v>
      </c>
      <c r="BB610">
        <v>1712</v>
      </c>
      <c r="BC610">
        <v>1729</v>
      </c>
      <c r="BD610" t="s">
        <v>74</v>
      </c>
      <c r="BE610" t="s">
        <v>7457</v>
      </c>
      <c r="BF610" t="str">
        <f>HYPERLINK("http://dx.doi.org/10.1016/j.rse.2007.08.022","http://dx.doi.org/10.1016/j.rse.2007.08.022")</f>
        <v>http://dx.doi.org/10.1016/j.rse.2007.08.022</v>
      </c>
      <c r="BG610" t="s">
        <v>74</v>
      </c>
      <c r="BH610" t="s">
        <v>74</v>
      </c>
      <c r="BI610">
        <v>18</v>
      </c>
      <c r="BJ610" t="s">
        <v>7458</v>
      </c>
      <c r="BK610" t="s">
        <v>419</v>
      </c>
      <c r="BL610" t="s">
        <v>7459</v>
      </c>
      <c r="BM610" t="s">
        <v>7460</v>
      </c>
      <c r="BN610" t="s">
        <v>74</v>
      </c>
      <c r="BO610" t="s">
        <v>74</v>
      </c>
      <c r="BP610" t="s">
        <v>74</v>
      </c>
      <c r="BQ610" t="s">
        <v>74</v>
      </c>
      <c r="BR610" t="s">
        <v>101</v>
      </c>
      <c r="BS610" t="s">
        <v>7461</v>
      </c>
      <c r="BT610" t="str">
        <f>HYPERLINK("https%3A%2F%2Fwww.webofscience.com%2Fwos%2Fwoscc%2Ffull-record%2FWOS:000254961500035","View Full Record in Web of Science")</f>
        <v>View Full Record in Web of Science</v>
      </c>
    </row>
    <row r="611" spans="1:72" x14ac:dyDescent="0.15">
      <c r="A611" t="s">
        <v>72</v>
      </c>
      <c r="B611" t="s">
        <v>7462</v>
      </c>
      <c r="C611" t="s">
        <v>74</v>
      </c>
      <c r="D611" t="s">
        <v>74</v>
      </c>
      <c r="E611" t="s">
        <v>74</v>
      </c>
      <c r="F611" t="s">
        <v>7463</v>
      </c>
      <c r="G611" t="s">
        <v>74</v>
      </c>
      <c r="H611" t="s">
        <v>74</v>
      </c>
      <c r="I611" t="s">
        <v>7464</v>
      </c>
      <c r="J611" t="s">
        <v>3432</v>
      </c>
      <c r="K611" t="s">
        <v>74</v>
      </c>
      <c r="L611" t="s">
        <v>74</v>
      </c>
      <c r="M611" t="s">
        <v>78</v>
      </c>
      <c r="N611" t="s">
        <v>2737</v>
      </c>
      <c r="O611" t="s">
        <v>74</v>
      </c>
      <c r="P611" t="s">
        <v>74</v>
      </c>
      <c r="Q611" t="s">
        <v>74</v>
      </c>
      <c r="R611" t="s">
        <v>74</v>
      </c>
      <c r="S611" t="s">
        <v>74</v>
      </c>
      <c r="T611" t="s">
        <v>74</v>
      </c>
      <c r="U611" t="s">
        <v>7465</v>
      </c>
      <c r="V611" t="s">
        <v>7466</v>
      </c>
      <c r="W611" t="s">
        <v>7467</v>
      </c>
      <c r="X611" t="s">
        <v>7468</v>
      </c>
      <c r="Y611" t="s">
        <v>7469</v>
      </c>
      <c r="Z611" t="s">
        <v>74</v>
      </c>
      <c r="AA611" t="s">
        <v>7470</v>
      </c>
      <c r="AB611" t="s">
        <v>4866</v>
      </c>
      <c r="AC611" t="s">
        <v>4340</v>
      </c>
      <c r="AD611" t="s">
        <v>3031</v>
      </c>
      <c r="AE611" t="s">
        <v>74</v>
      </c>
      <c r="AF611" t="s">
        <v>74</v>
      </c>
      <c r="AG611">
        <v>32</v>
      </c>
      <c r="AH611">
        <v>122</v>
      </c>
      <c r="AI611">
        <v>130</v>
      </c>
      <c r="AJ611">
        <v>1</v>
      </c>
      <c r="AK611">
        <v>18</v>
      </c>
      <c r="AL611" t="s">
        <v>3280</v>
      </c>
      <c r="AM611" t="s">
        <v>3281</v>
      </c>
      <c r="AN611" t="s">
        <v>3282</v>
      </c>
      <c r="AO611" t="s">
        <v>3439</v>
      </c>
      <c r="AP611" t="s">
        <v>3440</v>
      </c>
      <c r="AQ611" t="s">
        <v>74</v>
      </c>
      <c r="AR611" t="s">
        <v>3441</v>
      </c>
      <c r="AS611" t="s">
        <v>3442</v>
      </c>
      <c r="AT611" t="s">
        <v>7471</v>
      </c>
      <c r="AU611">
        <v>2008</v>
      </c>
      <c r="AV611">
        <v>113</v>
      </c>
      <c r="AW611" t="s">
        <v>7113</v>
      </c>
      <c r="AX611" t="s">
        <v>74</v>
      </c>
      <c r="AY611" t="s">
        <v>74</v>
      </c>
      <c r="AZ611" t="s">
        <v>74</v>
      </c>
      <c r="BA611" t="s">
        <v>74</v>
      </c>
      <c r="BB611" t="s">
        <v>74</v>
      </c>
      <c r="BC611" t="s">
        <v>74</v>
      </c>
      <c r="BD611" t="s">
        <v>7472</v>
      </c>
      <c r="BE611" t="s">
        <v>7473</v>
      </c>
      <c r="BF611" t="str">
        <f>HYPERLINK("http://dx.doi.org/10.1029/2007JC004449","http://dx.doi.org/10.1029/2007JC004449")</f>
        <v>http://dx.doi.org/10.1029/2007JC004449</v>
      </c>
      <c r="BG611" t="s">
        <v>74</v>
      </c>
      <c r="BH611" t="s">
        <v>74</v>
      </c>
      <c r="BI611">
        <v>18</v>
      </c>
      <c r="BJ611" t="s">
        <v>3447</v>
      </c>
      <c r="BK611" t="s">
        <v>419</v>
      </c>
      <c r="BL611" t="s">
        <v>3447</v>
      </c>
      <c r="BM611" t="s">
        <v>7474</v>
      </c>
      <c r="BN611" t="s">
        <v>74</v>
      </c>
      <c r="BO611" t="s">
        <v>4691</v>
      </c>
      <c r="BP611" t="s">
        <v>74</v>
      </c>
      <c r="BQ611" t="s">
        <v>74</v>
      </c>
      <c r="BR611" t="s">
        <v>101</v>
      </c>
      <c r="BS611" t="s">
        <v>7475</v>
      </c>
      <c r="BT611" t="str">
        <f>HYPERLINK("https%3A%2F%2Fwww.webofscience.com%2Fwos%2Fwoscc%2Ffull-record%2FWOS:000255077300007","View Full Record in Web of Science")</f>
        <v>View Full Record in Web of Science</v>
      </c>
    </row>
    <row r="612" spans="1:72" x14ac:dyDescent="0.15">
      <c r="A612" t="s">
        <v>72</v>
      </c>
      <c r="B612" t="s">
        <v>7476</v>
      </c>
      <c r="C612" t="s">
        <v>74</v>
      </c>
      <c r="D612" t="s">
        <v>74</v>
      </c>
      <c r="E612" t="s">
        <v>74</v>
      </c>
      <c r="F612" t="s">
        <v>7477</v>
      </c>
      <c r="G612" t="s">
        <v>74</v>
      </c>
      <c r="H612" t="s">
        <v>74</v>
      </c>
      <c r="I612" t="s">
        <v>7478</v>
      </c>
      <c r="J612" t="s">
        <v>3432</v>
      </c>
      <c r="K612" t="s">
        <v>74</v>
      </c>
      <c r="L612" t="s">
        <v>74</v>
      </c>
      <c r="M612" t="s">
        <v>78</v>
      </c>
      <c r="N612" t="s">
        <v>2737</v>
      </c>
      <c r="O612" t="s">
        <v>74</v>
      </c>
      <c r="P612" t="s">
        <v>74</v>
      </c>
      <c r="Q612" t="s">
        <v>74</v>
      </c>
      <c r="R612" t="s">
        <v>74</v>
      </c>
      <c r="S612" t="s">
        <v>74</v>
      </c>
      <c r="T612" t="s">
        <v>74</v>
      </c>
      <c r="U612" t="s">
        <v>7479</v>
      </c>
      <c r="V612" t="s">
        <v>7480</v>
      </c>
      <c r="W612" t="s">
        <v>7481</v>
      </c>
      <c r="X612" t="s">
        <v>7482</v>
      </c>
      <c r="Y612" t="s">
        <v>7483</v>
      </c>
      <c r="Z612" t="s">
        <v>7484</v>
      </c>
      <c r="AA612" t="s">
        <v>7485</v>
      </c>
      <c r="AB612" t="s">
        <v>7486</v>
      </c>
      <c r="AC612" t="s">
        <v>74</v>
      </c>
      <c r="AD612" t="s">
        <v>74</v>
      </c>
      <c r="AE612" t="s">
        <v>74</v>
      </c>
      <c r="AF612" t="s">
        <v>74</v>
      </c>
      <c r="AG612">
        <v>39</v>
      </c>
      <c r="AH612">
        <v>75</v>
      </c>
      <c r="AI612">
        <v>79</v>
      </c>
      <c r="AJ612">
        <v>1</v>
      </c>
      <c r="AK612">
        <v>45</v>
      </c>
      <c r="AL612" t="s">
        <v>3280</v>
      </c>
      <c r="AM612" t="s">
        <v>3281</v>
      </c>
      <c r="AN612" t="s">
        <v>3282</v>
      </c>
      <c r="AO612" t="s">
        <v>3439</v>
      </c>
      <c r="AP612" t="s">
        <v>3440</v>
      </c>
      <c r="AQ612" t="s">
        <v>74</v>
      </c>
      <c r="AR612" t="s">
        <v>3441</v>
      </c>
      <c r="AS612" t="s">
        <v>3442</v>
      </c>
      <c r="AT612" t="s">
        <v>7471</v>
      </c>
      <c r="AU612">
        <v>2008</v>
      </c>
      <c r="AV612">
        <v>113</v>
      </c>
      <c r="AW612" t="s">
        <v>7113</v>
      </c>
      <c r="AX612" t="s">
        <v>74</v>
      </c>
      <c r="AY612" t="s">
        <v>74</v>
      </c>
      <c r="AZ612" t="s">
        <v>74</v>
      </c>
      <c r="BA612" t="s">
        <v>74</v>
      </c>
      <c r="BB612" t="s">
        <v>74</v>
      </c>
      <c r="BC612" t="s">
        <v>74</v>
      </c>
      <c r="BD612" t="s">
        <v>7487</v>
      </c>
      <c r="BE612" t="s">
        <v>7488</v>
      </c>
      <c r="BF612" t="str">
        <f>HYPERLINK("http://dx.doi.org/10.1029/2007JC004369","http://dx.doi.org/10.1029/2007JC004369")</f>
        <v>http://dx.doi.org/10.1029/2007JC004369</v>
      </c>
      <c r="BG612" t="s">
        <v>74</v>
      </c>
      <c r="BH612" t="s">
        <v>74</v>
      </c>
      <c r="BI612">
        <v>15</v>
      </c>
      <c r="BJ612" t="s">
        <v>3447</v>
      </c>
      <c r="BK612" t="s">
        <v>419</v>
      </c>
      <c r="BL612" t="s">
        <v>3447</v>
      </c>
      <c r="BM612" t="s">
        <v>7474</v>
      </c>
      <c r="BN612" t="s">
        <v>74</v>
      </c>
      <c r="BO612" t="s">
        <v>4870</v>
      </c>
      <c r="BP612" t="s">
        <v>74</v>
      </c>
      <c r="BQ612" t="s">
        <v>74</v>
      </c>
      <c r="BR612" t="s">
        <v>101</v>
      </c>
      <c r="BS612" t="s">
        <v>7489</v>
      </c>
      <c r="BT612" t="str">
        <f>HYPERLINK("https%3A%2F%2Fwww.webofscience.com%2Fwos%2Fwoscc%2Ffull-record%2FWOS:000255077300003","View Full Record in Web of Science")</f>
        <v>View Full Record in Web of Science</v>
      </c>
    </row>
    <row r="613" spans="1:72" x14ac:dyDescent="0.15">
      <c r="A613" t="s">
        <v>72</v>
      </c>
      <c r="B613" t="s">
        <v>7490</v>
      </c>
      <c r="C613" t="s">
        <v>74</v>
      </c>
      <c r="D613" t="s">
        <v>74</v>
      </c>
      <c r="E613" t="s">
        <v>74</v>
      </c>
      <c r="F613" t="s">
        <v>7491</v>
      </c>
      <c r="G613" t="s">
        <v>74</v>
      </c>
      <c r="H613" t="s">
        <v>74</v>
      </c>
      <c r="I613" t="s">
        <v>7492</v>
      </c>
      <c r="J613" t="s">
        <v>5560</v>
      </c>
      <c r="K613" t="s">
        <v>74</v>
      </c>
      <c r="L613" t="s">
        <v>74</v>
      </c>
      <c r="M613" t="s">
        <v>78</v>
      </c>
      <c r="N613" t="s">
        <v>2737</v>
      </c>
      <c r="O613" t="s">
        <v>74</v>
      </c>
      <c r="P613" t="s">
        <v>74</v>
      </c>
      <c r="Q613" t="s">
        <v>74</v>
      </c>
      <c r="R613" t="s">
        <v>74</v>
      </c>
      <c r="S613" t="s">
        <v>74</v>
      </c>
      <c r="T613" t="s">
        <v>74</v>
      </c>
      <c r="U613" t="s">
        <v>7493</v>
      </c>
      <c r="V613" t="s">
        <v>7494</v>
      </c>
      <c r="W613" t="s">
        <v>7495</v>
      </c>
      <c r="X613" t="s">
        <v>7496</v>
      </c>
      <c r="Y613" t="s">
        <v>7497</v>
      </c>
      <c r="Z613" t="s">
        <v>7498</v>
      </c>
      <c r="AA613" t="s">
        <v>7499</v>
      </c>
      <c r="AB613" t="s">
        <v>7500</v>
      </c>
      <c r="AC613" t="s">
        <v>3372</v>
      </c>
      <c r="AD613" t="s">
        <v>2792</v>
      </c>
      <c r="AE613" t="s">
        <v>74</v>
      </c>
      <c r="AF613" t="s">
        <v>74</v>
      </c>
      <c r="AG613">
        <v>39</v>
      </c>
      <c r="AH613">
        <v>28</v>
      </c>
      <c r="AI613">
        <v>28</v>
      </c>
      <c r="AJ613">
        <v>0</v>
      </c>
      <c r="AK613">
        <v>11</v>
      </c>
      <c r="AL613" t="s">
        <v>3280</v>
      </c>
      <c r="AM613" t="s">
        <v>3281</v>
      </c>
      <c r="AN613" t="s">
        <v>3282</v>
      </c>
      <c r="AO613" t="s">
        <v>5569</v>
      </c>
      <c r="AP613" t="s">
        <v>5570</v>
      </c>
      <c r="AQ613" t="s">
        <v>74</v>
      </c>
      <c r="AR613" t="s">
        <v>5571</v>
      </c>
      <c r="AS613" t="s">
        <v>5572</v>
      </c>
      <c r="AT613" t="s">
        <v>7501</v>
      </c>
      <c r="AU613">
        <v>2008</v>
      </c>
      <c r="AV613">
        <v>113</v>
      </c>
      <c r="AW613" t="s">
        <v>5574</v>
      </c>
      <c r="AX613" t="s">
        <v>74</v>
      </c>
      <c r="AY613" t="s">
        <v>74</v>
      </c>
      <c r="AZ613" t="s">
        <v>74</v>
      </c>
      <c r="BA613" t="s">
        <v>74</v>
      </c>
      <c r="BB613" t="s">
        <v>74</v>
      </c>
      <c r="BC613" t="s">
        <v>74</v>
      </c>
      <c r="BD613" t="s">
        <v>7502</v>
      </c>
      <c r="BE613" t="s">
        <v>7503</v>
      </c>
      <c r="BF613" t="str">
        <f>HYPERLINK("http://dx.doi.org/10.1029/2007JF000832","http://dx.doi.org/10.1029/2007JF000832")</f>
        <v>http://dx.doi.org/10.1029/2007JF000832</v>
      </c>
      <c r="BG613" t="s">
        <v>74</v>
      </c>
      <c r="BH613" t="s">
        <v>74</v>
      </c>
      <c r="BI613">
        <v>13</v>
      </c>
      <c r="BJ613" t="s">
        <v>3093</v>
      </c>
      <c r="BK613" t="s">
        <v>419</v>
      </c>
      <c r="BL613" t="s">
        <v>3094</v>
      </c>
      <c r="BM613" t="s">
        <v>7504</v>
      </c>
      <c r="BN613" t="s">
        <v>74</v>
      </c>
      <c r="BO613" t="s">
        <v>3589</v>
      </c>
      <c r="BP613" t="s">
        <v>74</v>
      </c>
      <c r="BQ613" t="s">
        <v>74</v>
      </c>
      <c r="BR613" t="s">
        <v>101</v>
      </c>
      <c r="BS613" t="s">
        <v>7505</v>
      </c>
      <c r="BT613" t="str">
        <f>HYPERLINK("https%3A%2F%2Fwww.webofscience.com%2Fwos%2Fwoscc%2Ffull-record%2FWOS:000255076800001","View Full Record in Web of Science")</f>
        <v>View Full Record in Web of Science</v>
      </c>
    </row>
    <row r="614" spans="1:72" x14ac:dyDescent="0.15">
      <c r="A614" t="s">
        <v>72</v>
      </c>
      <c r="B614" t="s">
        <v>7506</v>
      </c>
      <c r="C614" t="s">
        <v>74</v>
      </c>
      <c r="D614" t="s">
        <v>74</v>
      </c>
      <c r="E614" t="s">
        <v>74</v>
      </c>
      <c r="F614" t="s">
        <v>7507</v>
      </c>
      <c r="G614" t="s">
        <v>74</v>
      </c>
      <c r="H614" t="s">
        <v>74</v>
      </c>
      <c r="I614" t="s">
        <v>7508</v>
      </c>
      <c r="J614" t="s">
        <v>3776</v>
      </c>
      <c r="K614" t="s">
        <v>74</v>
      </c>
      <c r="L614" t="s">
        <v>74</v>
      </c>
      <c r="M614" t="s">
        <v>78</v>
      </c>
      <c r="N614" t="s">
        <v>2737</v>
      </c>
      <c r="O614" t="s">
        <v>74</v>
      </c>
      <c r="P614" t="s">
        <v>74</v>
      </c>
      <c r="Q614" t="s">
        <v>74</v>
      </c>
      <c r="R614" t="s">
        <v>74</v>
      </c>
      <c r="S614" t="s">
        <v>74</v>
      </c>
      <c r="T614" t="s">
        <v>74</v>
      </c>
      <c r="U614" t="s">
        <v>7509</v>
      </c>
      <c r="V614" t="s">
        <v>7510</v>
      </c>
      <c r="W614" t="s">
        <v>7511</v>
      </c>
      <c r="X614" t="s">
        <v>7512</v>
      </c>
      <c r="Y614" t="s">
        <v>7513</v>
      </c>
      <c r="Z614" t="s">
        <v>7514</v>
      </c>
      <c r="AA614" t="s">
        <v>7515</v>
      </c>
      <c r="AB614" t="s">
        <v>7516</v>
      </c>
      <c r="AC614" t="s">
        <v>3785</v>
      </c>
      <c r="AD614" t="s">
        <v>3031</v>
      </c>
      <c r="AE614" t="s">
        <v>74</v>
      </c>
      <c r="AF614" t="s">
        <v>74</v>
      </c>
      <c r="AG614">
        <v>38</v>
      </c>
      <c r="AH614">
        <v>61</v>
      </c>
      <c r="AI614">
        <v>63</v>
      </c>
      <c r="AJ614">
        <v>1</v>
      </c>
      <c r="AK614">
        <v>6</v>
      </c>
      <c r="AL614" t="s">
        <v>3280</v>
      </c>
      <c r="AM614" t="s">
        <v>3281</v>
      </c>
      <c r="AN614" t="s">
        <v>3282</v>
      </c>
      <c r="AO614" t="s">
        <v>3786</v>
      </c>
      <c r="AP614" t="s">
        <v>3787</v>
      </c>
      <c r="AQ614" t="s">
        <v>74</v>
      </c>
      <c r="AR614" t="s">
        <v>3788</v>
      </c>
      <c r="AS614" t="s">
        <v>3789</v>
      </c>
      <c r="AT614" t="s">
        <v>7501</v>
      </c>
      <c r="AU614">
        <v>2008</v>
      </c>
      <c r="AV614">
        <v>113</v>
      </c>
      <c r="AW614" t="s">
        <v>7262</v>
      </c>
      <c r="AX614" t="s">
        <v>74</v>
      </c>
      <c r="AY614" t="s">
        <v>74</v>
      </c>
      <c r="AZ614" t="s">
        <v>74</v>
      </c>
      <c r="BA614" t="s">
        <v>74</v>
      </c>
      <c r="BB614" t="s">
        <v>74</v>
      </c>
      <c r="BC614" t="s">
        <v>74</v>
      </c>
      <c r="BD614" t="s">
        <v>7517</v>
      </c>
      <c r="BE614" t="s">
        <v>7518</v>
      </c>
      <c r="BF614" t="str">
        <f>HYPERLINK("http://dx.doi.org/10.1029/2007JA012602","http://dx.doi.org/10.1029/2007JA012602")</f>
        <v>http://dx.doi.org/10.1029/2007JA012602</v>
      </c>
      <c r="BG614" t="s">
        <v>74</v>
      </c>
      <c r="BH614" t="s">
        <v>74</v>
      </c>
      <c r="BI614">
        <v>12</v>
      </c>
      <c r="BJ614" t="s">
        <v>3794</v>
      </c>
      <c r="BK614" t="s">
        <v>419</v>
      </c>
      <c r="BL614" t="s">
        <v>3794</v>
      </c>
      <c r="BM614" t="s">
        <v>7519</v>
      </c>
      <c r="BN614" t="s">
        <v>74</v>
      </c>
      <c r="BO614" t="s">
        <v>3311</v>
      </c>
      <c r="BP614" t="s">
        <v>74</v>
      </c>
      <c r="BQ614" t="s">
        <v>74</v>
      </c>
      <c r="BR614" t="s">
        <v>101</v>
      </c>
      <c r="BS614" t="s">
        <v>7520</v>
      </c>
      <c r="BT614" t="str">
        <f>HYPERLINK("https%3A%2F%2Fwww.webofscience.com%2Fwos%2Fwoscc%2Ffull-record%2FWOS:000255079100003","View Full Record in Web of Science")</f>
        <v>View Full Record in Web of Science</v>
      </c>
    </row>
    <row r="615" spans="1:72" x14ac:dyDescent="0.15">
      <c r="A615" t="s">
        <v>72</v>
      </c>
      <c r="B615" t="s">
        <v>7521</v>
      </c>
      <c r="C615" t="s">
        <v>74</v>
      </c>
      <c r="D615" t="s">
        <v>74</v>
      </c>
      <c r="E615" t="s">
        <v>74</v>
      </c>
      <c r="F615" t="s">
        <v>7522</v>
      </c>
      <c r="G615" t="s">
        <v>74</v>
      </c>
      <c r="H615" t="s">
        <v>74</v>
      </c>
      <c r="I615" t="s">
        <v>7523</v>
      </c>
      <c r="J615" t="s">
        <v>7310</v>
      </c>
      <c r="K615" t="s">
        <v>74</v>
      </c>
      <c r="L615" t="s">
        <v>74</v>
      </c>
      <c r="M615" t="s">
        <v>78</v>
      </c>
      <c r="N615" t="s">
        <v>2958</v>
      </c>
      <c r="O615" t="s">
        <v>74</v>
      </c>
      <c r="P615" t="s">
        <v>74</v>
      </c>
      <c r="Q615" t="s">
        <v>74</v>
      </c>
      <c r="R615" t="s">
        <v>74</v>
      </c>
      <c r="S615" t="s">
        <v>74</v>
      </c>
      <c r="T615" t="s">
        <v>74</v>
      </c>
      <c r="U615" t="s">
        <v>7524</v>
      </c>
      <c r="V615" t="s">
        <v>7525</v>
      </c>
      <c r="W615" t="s">
        <v>7526</v>
      </c>
      <c r="X615" t="s">
        <v>7527</v>
      </c>
      <c r="Y615" t="s">
        <v>7528</v>
      </c>
      <c r="Z615" t="s">
        <v>7529</v>
      </c>
      <c r="AA615" t="s">
        <v>7530</v>
      </c>
      <c r="AB615" t="s">
        <v>7531</v>
      </c>
      <c r="AC615" t="s">
        <v>3372</v>
      </c>
      <c r="AD615" t="s">
        <v>2792</v>
      </c>
      <c r="AE615" t="s">
        <v>74</v>
      </c>
      <c r="AF615" t="s">
        <v>74</v>
      </c>
      <c r="AG615">
        <v>290</v>
      </c>
      <c r="AH615">
        <v>118</v>
      </c>
      <c r="AI615">
        <v>135</v>
      </c>
      <c r="AJ615">
        <v>0</v>
      </c>
      <c r="AK615">
        <v>56</v>
      </c>
      <c r="AL615" t="s">
        <v>3280</v>
      </c>
      <c r="AM615" t="s">
        <v>3281</v>
      </c>
      <c r="AN615" t="s">
        <v>3282</v>
      </c>
      <c r="AO615" t="s">
        <v>7319</v>
      </c>
      <c r="AP615" t="s">
        <v>7320</v>
      </c>
      <c r="AQ615" t="s">
        <v>74</v>
      </c>
      <c r="AR615" t="s">
        <v>7321</v>
      </c>
      <c r="AS615" t="s">
        <v>7322</v>
      </c>
      <c r="AT615" t="s">
        <v>7501</v>
      </c>
      <c r="AU615">
        <v>2008</v>
      </c>
      <c r="AV615">
        <v>46</v>
      </c>
      <c r="AW615">
        <v>1</v>
      </c>
      <c r="AX615" t="s">
        <v>74</v>
      </c>
      <c r="AY615" t="s">
        <v>74</v>
      </c>
      <c r="AZ615" t="s">
        <v>74</v>
      </c>
      <c r="BA615" t="s">
        <v>74</v>
      </c>
      <c r="BB615" t="s">
        <v>74</v>
      </c>
      <c r="BC615" t="s">
        <v>74</v>
      </c>
      <c r="BD615" t="s">
        <v>7532</v>
      </c>
      <c r="BE615" t="s">
        <v>7533</v>
      </c>
      <c r="BF615" t="str">
        <f>HYPERLINK("http://dx.doi.org/10.1029/2006RG000218","http://dx.doi.org/10.1029/2006RG000218")</f>
        <v>http://dx.doi.org/10.1029/2006RG000218</v>
      </c>
      <c r="BG615" t="s">
        <v>74</v>
      </c>
      <c r="BH615" t="s">
        <v>74</v>
      </c>
      <c r="BI615">
        <v>39</v>
      </c>
      <c r="BJ615" t="s">
        <v>98</v>
      </c>
      <c r="BK615" t="s">
        <v>419</v>
      </c>
      <c r="BL615" t="s">
        <v>98</v>
      </c>
      <c r="BM615" t="s">
        <v>7534</v>
      </c>
      <c r="BN615" t="s">
        <v>74</v>
      </c>
      <c r="BO615" t="s">
        <v>3359</v>
      </c>
      <c r="BP615" t="s">
        <v>74</v>
      </c>
      <c r="BQ615" t="s">
        <v>74</v>
      </c>
      <c r="BR615" t="s">
        <v>101</v>
      </c>
      <c r="BS615" t="s">
        <v>7535</v>
      </c>
      <c r="BT615" t="str">
        <f>HYPERLINK("https%3A%2F%2Fwww.webofscience.com%2Fwos%2Fwoscc%2Ffull-record%2FWOS:000255079700001","View Full Record in Web of Science")</f>
        <v>View Full Record in Web of Science</v>
      </c>
    </row>
    <row r="616" spans="1:72" x14ac:dyDescent="0.15">
      <c r="A616" t="s">
        <v>72</v>
      </c>
      <c r="B616" t="s">
        <v>7536</v>
      </c>
      <c r="C616" t="s">
        <v>74</v>
      </c>
      <c r="D616" t="s">
        <v>74</v>
      </c>
      <c r="E616" t="s">
        <v>74</v>
      </c>
      <c r="F616" t="s">
        <v>7537</v>
      </c>
      <c r="G616" t="s">
        <v>74</v>
      </c>
      <c r="H616" t="s">
        <v>74</v>
      </c>
      <c r="I616" t="s">
        <v>7538</v>
      </c>
      <c r="J616" t="s">
        <v>5560</v>
      </c>
      <c r="K616" t="s">
        <v>74</v>
      </c>
      <c r="L616" t="s">
        <v>74</v>
      </c>
      <c r="M616" t="s">
        <v>78</v>
      </c>
      <c r="N616" t="s">
        <v>2737</v>
      </c>
      <c r="O616" t="s">
        <v>74</v>
      </c>
      <c r="P616" t="s">
        <v>74</v>
      </c>
      <c r="Q616" t="s">
        <v>74</v>
      </c>
      <c r="R616" t="s">
        <v>74</v>
      </c>
      <c r="S616" t="s">
        <v>74</v>
      </c>
      <c r="T616" t="s">
        <v>74</v>
      </c>
      <c r="U616" t="s">
        <v>7539</v>
      </c>
      <c r="V616" t="s">
        <v>7540</v>
      </c>
      <c r="W616" t="s">
        <v>7541</v>
      </c>
      <c r="X616" t="s">
        <v>7542</v>
      </c>
      <c r="Y616" t="s">
        <v>7543</v>
      </c>
      <c r="Z616" t="s">
        <v>7544</v>
      </c>
      <c r="AA616" t="s">
        <v>7545</v>
      </c>
      <c r="AB616" t="s">
        <v>7546</v>
      </c>
      <c r="AC616" t="s">
        <v>4045</v>
      </c>
      <c r="AD616" t="s">
        <v>3031</v>
      </c>
      <c r="AE616" t="s">
        <v>74</v>
      </c>
      <c r="AF616" t="s">
        <v>74</v>
      </c>
      <c r="AG616">
        <v>23</v>
      </c>
      <c r="AH616">
        <v>21</v>
      </c>
      <c r="AI616">
        <v>23</v>
      </c>
      <c r="AJ616">
        <v>0</v>
      </c>
      <c r="AK616">
        <v>8</v>
      </c>
      <c r="AL616" t="s">
        <v>3280</v>
      </c>
      <c r="AM616" t="s">
        <v>3281</v>
      </c>
      <c r="AN616" t="s">
        <v>3282</v>
      </c>
      <c r="AO616" t="s">
        <v>5569</v>
      </c>
      <c r="AP616" t="s">
        <v>5570</v>
      </c>
      <c r="AQ616" t="s">
        <v>74</v>
      </c>
      <c r="AR616" t="s">
        <v>5571</v>
      </c>
      <c r="AS616" t="s">
        <v>5572</v>
      </c>
      <c r="AT616" t="s">
        <v>7547</v>
      </c>
      <c r="AU616">
        <v>2008</v>
      </c>
      <c r="AV616">
        <v>113</v>
      </c>
      <c r="AW616" t="s">
        <v>5574</v>
      </c>
      <c r="AX616" t="s">
        <v>74</v>
      </c>
      <c r="AY616" t="s">
        <v>74</v>
      </c>
      <c r="AZ616" t="s">
        <v>74</v>
      </c>
      <c r="BA616" t="s">
        <v>74</v>
      </c>
      <c r="BB616" t="s">
        <v>74</v>
      </c>
      <c r="BC616" t="s">
        <v>74</v>
      </c>
      <c r="BD616" t="s">
        <v>7548</v>
      </c>
      <c r="BE616" t="s">
        <v>7549</v>
      </c>
      <c r="BF616" t="str">
        <f>HYPERLINK("http://dx.doi.org/10.1029/2007JF000871","http://dx.doi.org/10.1029/2007JF000871")</f>
        <v>http://dx.doi.org/10.1029/2007JF000871</v>
      </c>
      <c r="BG616" t="s">
        <v>74</v>
      </c>
      <c r="BH616" t="s">
        <v>74</v>
      </c>
      <c r="BI616">
        <v>12</v>
      </c>
      <c r="BJ616" t="s">
        <v>3093</v>
      </c>
      <c r="BK616" t="s">
        <v>419</v>
      </c>
      <c r="BL616" t="s">
        <v>3094</v>
      </c>
      <c r="BM616" t="s">
        <v>7550</v>
      </c>
      <c r="BN616" t="s">
        <v>74</v>
      </c>
      <c r="BO616" t="s">
        <v>3290</v>
      </c>
      <c r="BP616" t="s">
        <v>74</v>
      </c>
      <c r="BQ616" t="s">
        <v>74</v>
      </c>
      <c r="BR616" t="s">
        <v>101</v>
      </c>
      <c r="BS616" t="s">
        <v>7551</v>
      </c>
      <c r="BT616" t="str">
        <f>HYPERLINK("https%3A%2F%2Fwww.webofscience.com%2Fwos%2Fwoscc%2Ffull-record%2FWOS:000255076700002","View Full Record in Web of Science")</f>
        <v>View Full Record in Web of Science</v>
      </c>
    </row>
    <row r="617" spans="1:72" x14ac:dyDescent="0.15">
      <c r="A617" t="s">
        <v>72</v>
      </c>
      <c r="B617" t="s">
        <v>7552</v>
      </c>
      <c r="C617" t="s">
        <v>74</v>
      </c>
      <c r="D617" t="s">
        <v>74</v>
      </c>
      <c r="E617" t="s">
        <v>74</v>
      </c>
      <c r="F617" t="s">
        <v>7553</v>
      </c>
      <c r="G617" t="s">
        <v>74</v>
      </c>
      <c r="H617" t="s">
        <v>74</v>
      </c>
      <c r="I617" t="s">
        <v>7554</v>
      </c>
      <c r="J617" t="s">
        <v>7555</v>
      </c>
      <c r="K617" t="s">
        <v>74</v>
      </c>
      <c r="L617" t="s">
        <v>74</v>
      </c>
      <c r="M617" t="s">
        <v>78</v>
      </c>
      <c r="N617" t="s">
        <v>2989</v>
      </c>
      <c r="O617" t="s">
        <v>74</v>
      </c>
      <c r="P617" t="s">
        <v>74</v>
      </c>
      <c r="Q617" t="s">
        <v>74</v>
      </c>
      <c r="R617" t="s">
        <v>74</v>
      </c>
      <c r="S617" t="s">
        <v>74</v>
      </c>
      <c r="T617" t="s">
        <v>74</v>
      </c>
      <c r="U617" t="s">
        <v>7556</v>
      </c>
      <c r="V617" t="s">
        <v>74</v>
      </c>
      <c r="W617" t="s">
        <v>7557</v>
      </c>
      <c r="X617" t="s">
        <v>7558</v>
      </c>
      <c r="Y617" t="s">
        <v>7559</v>
      </c>
      <c r="Z617" t="s">
        <v>7560</v>
      </c>
      <c r="AA617" t="s">
        <v>7561</v>
      </c>
      <c r="AB617" t="s">
        <v>7562</v>
      </c>
      <c r="AC617" t="s">
        <v>6444</v>
      </c>
      <c r="AD617" t="s">
        <v>3031</v>
      </c>
      <c r="AE617" t="s">
        <v>74</v>
      </c>
      <c r="AF617" t="s">
        <v>74</v>
      </c>
      <c r="AG617">
        <v>43</v>
      </c>
      <c r="AH617">
        <v>1</v>
      </c>
      <c r="AI617">
        <v>1</v>
      </c>
      <c r="AJ617">
        <v>1</v>
      </c>
      <c r="AK617">
        <v>16</v>
      </c>
      <c r="AL617" t="s">
        <v>3933</v>
      </c>
      <c r="AM617" t="s">
        <v>3258</v>
      </c>
      <c r="AN617" t="s">
        <v>3934</v>
      </c>
      <c r="AO617" t="s">
        <v>7563</v>
      </c>
      <c r="AP617" t="s">
        <v>7564</v>
      </c>
      <c r="AQ617" t="s">
        <v>74</v>
      </c>
      <c r="AR617" t="s">
        <v>7565</v>
      </c>
      <c r="AS617" t="s">
        <v>7566</v>
      </c>
      <c r="AT617" t="s">
        <v>7567</v>
      </c>
      <c r="AU617">
        <v>2008</v>
      </c>
      <c r="AV617">
        <v>260</v>
      </c>
      <c r="AW617" t="s">
        <v>5676</v>
      </c>
      <c r="AX617" t="s">
        <v>74</v>
      </c>
      <c r="AY617" t="s">
        <v>74</v>
      </c>
      <c r="AZ617" t="s">
        <v>74</v>
      </c>
      <c r="BA617" t="s">
        <v>74</v>
      </c>
      <c r="BB617">
        <v>1</v>
      </c>
      <c r="BC617">
        <v>7</v>
      </c>
      <c r="BD617" t="s">
        <v>74</v>
      </c>
      <c r="BE617" t="s">
        <v>7568</v>
      </c>
      <c r="BF617" t="str">
        <f>HYPERLINK("http://dx.doi.org/10.1016/j.palaeo.2007.12.001","http://dx.doi.org/10.1016/j.palaeo.2007.12.001")</f>
        <v>http://dx.doi.org/10.1016/j.palaeo.2007.12.001</v>
      </c>
      <c r="BG617" t="s">
        <v>74</v>
      </c>
      <c r="BH617" t="s">
        <v>74</v>
      </c>
      <c r="BI617">
        <v>7</v>
      </c>
      <c r="BJ617" t="s">
        <v>7569</v>
      </c>
      <c r="BK617" t="s">
        <v>419</v>
      </c>
      <c r="BL617" t="s">
        <v>7570</v>
      </c>
      <c r="BM617" t="s">
        <v>7571</v>
      </c>
      <c r="BN617" t="s">
        <v>74</v>
      </c>
      <c r="BO617" t="s">
        <v>74</v>
      </c>
      <c r="BP617" t="s">
        <v>74</v>
      </c>
      <c r="BQ617" t="s">
        <v>74</v>
      </c>
      <c r="BR617" t="s">
        <v>101</v>
      </c>
      <c r="BS617" t="s">
        <v>7572</v>
      </c>
      <c r="BT617" t="str">
        <f>HYPERLINK("https%3A%2F%2Fwww.webofscience.com%2Fwos%2Fwoscc%2Ffull-record%2FWOS:000255434800001","View Full Record in Web of Science")</f>
        <v>View Full Record in Web of Science</v>
      </c>
    </row>
    <row r="618" spans="1:72" x14ac:dyDescent="0.15">
      <c r="A618" t="s">
        <v>72</v>
      </c>
      <c r="B618" t="s">
        <v>7573</v>
      </c>
      <c r="C618" t="s">
        <v>74</v>
      </c>
      <c r="D618" t="s">
        <v>74</v>
      </c>
      <c r="E618" t="s">
        <v>74</v>
      </c>
      <c r="F618" t="s">
        <v>7574</v>
      </c>
      <c r="G618" t="s">
        <v>74</v>
      </c>
      <c r="H618" t="s">
        <v>74</v>
      </c>
      <c r="I618" t="s">
        <v>7575</v>
      </c>
      <c r="J618" t="s">
        <v>7555</v>
      </c>
      <c r="K618" t="s">
        <v>74</v>
      </c>
      <c r="L618" t="s">
        <v>74</v>
      </c>
      <c r="M618" t="s">
        <v>78</v>
      </c>
      <c r="N618" t="s">
        <v>3318</v>
      </c>
      <c r="O618" t="s">
        <v>7576</v>
      </c>
      <c r="P618" t="s">
        <v>7577</v>
      </c>
      <c r="Q618" t="s">
        <v>7578</v>
      </c>
      <c r="R618" t="s">
        <v>74</v>
      </c>
      <c r="S618" t="s">
        <v>74</v>
      </c>
      <c r="T618" t="s">
        <v>7579</v>
      </c>
      <c r="U618" t="s">
        <v>7580</v>
      </c>
      <c r="V618" t="s">
        <v>7581</v>
      </c>
      <c r="W618" t="s">
        <v>7582</v>
      </c>
      <c r="X618" t="s">
        <v>7583</v>
      </c>
      <c r="Y618" t="s">
        <v>7584</v>
      </c>
      <c r="Z618" t="s">
        <v>7585</v>
      </c>
      <c r="AA618" t="s">
        <v>7586</v>
      </c>
      <c r="AB618" t="s">
        <v>7587</v>
      </c>
      <c r="AC618" t="s">
        <v>74</v>
      </c>
      <c r="AD618" t="s">
        <v>74</v>
      </c>
      <c r="AE618" t="s">
        <v>74</v>
      </c>
      <c r="AF618" t="s">
        <v>74</v>
      </c>
      <c r="AG618">
        <v>71</v>
      </c>
      <c r="AH618">
        <v>76</v>
      </c>
      <c r="AI618">
        <v>95</v>
      </c>
      <c r="AJ618">
        <v>1</v>
      </c>
      <c r="AK618">
        <v>20</v>
      </c>
      <c r="AL618" t="s">
        <v>3933</v>
      </c>
      <c r="AM618" t="s">
        <v>3258</v>
      </c>
      <c r="AN618" t="s">
        <v>3934</v>
      </c>
      <c r="AO618" t="s">
        <v>7563</v>
      </c>
      <c r="AP618" t="s">
        <v>7564</v>
      </c>
      <c r="AQ618" t="s">
        <v>74</v>
      </c>
      <c r="AR618" t="s">
        <v>7565</v>
      </c>
      <c r="AS618" t="s">
        <v>7566</v>
      </c>
      <c r="AT618" t="s">
        <v>7567</v>
      </c>
      <c r="AU618">
        <v>2008</v>
      </c>
      <c r="AV618">
        <v>260</v>
      </c>
      <c r="AW618" t="s">
        <v>5676</v>
      </c>
      <c r="AX618" t="s">
        <v>74</v>
      </c>
      <c r="AY618" t="s">
        <v>74</v>
      </c>
      <c r="AZ618" t="s">
        <v>74</v>
      </c>
      <c r="BA618" t="s">
        <v>74</v>
      </c>
      <c r="BB618">
        <v>8</v>
      </c>
      <c r="BC618">
        <v>29</v>
      </c>
      <c r="BD618" t="s">
        <v>74</v>
      </c>
      <c r="BE618" t="s">
        <v>7588</v>
      </c>
      <c r="BF618" t="str">
        <f>HYPERLINK("http://dx.doi.org/10.1016/j.palaeo.2007.08.016","http://dx.doi.org/10.1016/j.palaeo.2007.08.016")</f>
        <v>http://dx.doi.org/10.1016/j.palaeo.2007.08.016</v>
      </c>
      <c r="BG618" t="s">
        <v>74</v>
      </c>
      <c r="BH618" t="s">
        <v>74</v>
      </c>
      <c r="BI618">
        <v>22</v>
      </c>
      <c r="BJ618" t="s">
        <v>7569</v>
      </c>
      <c r="BK618" t="s">
        <v>99</v>
      </c>
      <c r="BL618" t="s">
        <v>7570</v>
      </c>
      <c r="BM618" t="s">
        <v>7571</v>
      </c>
      <c r="BN618" t="s">
        <v>74</v>
      </c>
      <c r="BO618" t="s">
        <v>6610</v>
      </c>
      <c r="BP618" t="s">
        <v>74</v>
      </c>
      <c r="BQ618" t="s">
        <v>74</v>
      </c>
      <c r="BR618" t="s">
        <v>101</v>
      </c>
      <c r="BS618" t="s">
        <v>7589</v>
      </c>
      <c r="BT618" t="str">
        <f>HYPERLINK("https%3A%2F%2Fwww.webofscience.com%2Fwos%2Fwoscc%2Ffull-record%2FWOS:000255434800002","View Full Record in Web of Science")</f>
        <v>View Full Record in Web of Science</v>
      </c>
    </row>
    <row r="619" spans="1:72" x14ac:dyDescent="0.15">
      <c r="A619" t="s">
        <v>72</v>
      </c>
      <c r="B619" t="s">
        <v>7590</v>
      </c>
      <c r="C619" t="s">
        <v>74</v>
      </c>
      <c r="D619" t="s">
        <v>74</v>
      </c>
      <c r="E619" t="s">
        <v>74</v>
      </c>
      <c r="F619" t="s">
        <v>7591</v>
      </c>
      <c r="G619" t="s">
        <v>74</v>
      </c>
      <c r="H619" t="s">
        <v>74</v>
      </c>
      <c r="I619" t="s">
        <v>7592</v>
      </c>
      <c r="J619" t="s">
        <v>7555</v>
      </c>
      <c r="K619" t="s">
        <v>74</v>
      </c>
      <c r="L619" t="s">
        <v>74</v>
      </c>
      <c r="M619" t="s">
        <v>78</v>
      </c>
      <c r="N619" t="s">
        <v>3318</v>
      </c>
      <c r="O619" t="s">
        <v>7576</v>
      </c>
      <c r="P619" t="s">
        <v>7577</v>
      </c>
      <c r="Q619" t="s">
        <v>7578</v>
      </c>
      <c r="R619" t="s">
        <v>74</v>
      </c>
      <c r="S619" t="s">
        <v>74</v>
      </c>
      <c r="T619" t="s">
        <v>7593</v>
      </c>
      <c r="U619" t="s">
        <v>7594</v>
      </c>
      <c r="V619" t="s">
        <v>7595</v>
      </c>
      <c r="W619" t="s">
        <v>7596</v>
      </c>
      <c r="X619" t="s">
        <v>7597</v>
      </c>
      <c r="Y619" t="s">
        <v>7598</v>
      </c>
      <c r="Z619" t="s">
        <v>7599</v>
      </c>
      <c r="AA619" t="s">
        <v>7600</v>
      </c>
      <c r="AB619" t="s">
        <v>7601</v>
      </c>
      <c r="AC619" t="s">
        <v>74</v>
      </c>
      <c r="AD619" t="s">
        <v>74</v>
      </c>
      <c r="AE619" t="s">
        <v>74</v>
      </c>
      <c r="AF619" t="s">
        <v>74</v>
      </c>
      <c r="AG619">
        <v>61</v>
      </c>
      <c r="AH619">
        <v>25</v>
      </c>
      <c r="AI619">
        <v>28</v>
      </c>
      <c r="AJ619">
        <v>1</v>
      </c>
      <c r="AK619">
        <v>18</v>
      </c>
      <c r="AL619" t="s">
        <v>3933</v>
      </c>
      <c r="AM619" t="s">
        <v>3258</v>
      </c>
      <c r="AN619" t="s">
        <v>3934</v>
      </c>
      <c r="AO619" t="s">
        <v>7563</v>
      </c>
      <c r="AP619" t="s">
        <v>7564</v>
      </c>
      <c r="AQ619" t="s">
        <v>74</v>
      </c>
      <c r="AR619" t="s">
        <v>7565</v>
      </c>
      <c r="AS619" t="s">
        <v>7566</v>
      </c>
      <c r="AT619" t="s">
        <v>7567</v>
      </c>
      <c r="AU619">
        <v>2008</v>
      </c>
      <c r="AV619">
        <v>260</v>
      </c>
      <c r="AW619" t="s">
        <v>5676</v>
      </c>
      <c r="AX619" t="s">
        <v>74</v>
      </c>
      <c r="AY619" t="s">
        <v>74</v>
      </c>
      <c r="AZ619" t="s">
        <v>74</v>
      </c>
      <c r="BA619" t="s">
        <v>74</v>
      </c>
      <c r="BB619">
        <v>30</v>
      </c>
      <c r="BC619">
        <v>40</v>
      </c>
      <c r="BD619" t="s">
        <v>74</v>
      </c>
      <c r="BE619" t="s">
        <v>7602</v>
      </c>
      <c r="BF619" t="str">
        <f>HYPERLINK("http://dx.doi.org/10.1016/j.palaeo.2007.08.012","http://dx.doi.org/10.1016/j.palaeo.2007.08.012")</f>
        <v>http://dx.doi.org/10.1016/j.palaeo.2007.08.012</v>
      </c>
      <c r="BG619" t="s">
        <v>74</v>
      </c>
      <c r="BH619" t="s">
        <v>74</v>
      </c>
      <c r="BI619">
        <v>11</v>
      </c>
      <c r="BJ619" t="s">
        <v>7569</v>
      </c>
      <c r="BK619" t="s">
        <v>99</v>
      </c>
      <c r="BL619" t="s">
        <v>7570</v>
      </c>
      <c r="BM619" t="s">
        <v>7571</v>
      </c>
      <c r="BN619" t="s">
        <v>74</v>
      </c>
      <c r="BO619" t="s">
        <v>74</v>
      </c>
      <c r="BP619" t="s">
        <v>74</v>
      </c>
      <c r="BQ619" t="s">
        <v>74</v>
      </c>
      <c r="BR619" t="s">
        <v>101</v>
      </c>
      <c r="BS619" t="s">
        <v>7603</v>
      </c>
      <c r="BT619" t="str">
        <f>HYPERLINK("https%3A%2F%2Fwww.webofscience.com%2Fwos%2Fwoscc%2Ffull-record%2FWOS:000255434800003","View Full Record in Web of Science")</f>
        <v>View Full Record in Web of Science</v>
      </c>
    </row>
    <row r="620" spans="1:72" x14ac:dyDescent="0.15">
      <c r="A620" t="s">
        <v>72</v>
      </c>
      <c r="B620" t="s">
        <v>7604</v>
      </c>
      <c r="C620" t="s">
        <v>74</v>
      </c>
      <c r="D620" t="s">
        <v>74</v>
      </c>
      <c r="E620" t="s">
        <v>74</v>
      </c>
      <c r="F620" t="s">
        <v>7605</v>
      </c>
      <c r="G620" t="s">
        <v>74</v>
      </c>
      <c r="H620" t="s">
        <v>74</v>
      </c>
      <c r="I620" t="s">
        <v>7606</v>
      </c>
      <c r="J620" t="s">
        <v>7555</v>
      </c>
      <c r="K620" t="s">
        <v>74</v>
      </c>
      <c r="L620" t="s">
        <v>74</v>
      </c>
      <c r="M620" t="s">
        <v>78</v>
      </c>
      <c r="N620" t="s">
        <v>3318</v>
      </c>
      <c r="O620" t="s">
        <v>7576</v>
      </c>
      <c r="P620" t="s">
        <v>7577</v>
      </c>
      <c r="Q620" t="s">
        <v>7578</v>
      </c>
      <c r="R620" t="s">
        <v>74</v>
      </c>
      <c r="S620" t="s">
        <v>74</v>
      </c>
      <c r="T620" t="s">
        <v>7607</v>
      </c>
      <c r="U620" t="s">
        <v>7608</v>
      </c>
      <c r="V620" t="s">
        <v>7609</v>
      </c>
      <c r="W620" t="s">
        <v>7610</v>
      </c>
      <c r="X620" t="s">
        <v>7611</v>
      </c>
      <c r="Y620" t="s">
        <v>7612</v>
      </c>
      <c r="Z620" t="s">
        <v>7613</v>
      </c>
      <c r="AA620" t="s">
        <v>7614</v>
      </c>
      <c r="AB620" t="s">
        <v>74</v>
      </c>
      <c r="AC620" t="s">
        <v>74</v>
      </c>
      <c r="AD620" t="s">
        <v>74</v>
      </c>
      <c r="AE620" t="s">
        <v>74</v>
      </c>
      <c r="AF620" t="s">
        <v>74</v>
      </c>
      <c r="AG620">
        <v>58</v>
      </c>
      <c r="AH620">
        <v>39</v>
      </c>
      <c r="AI620">
        <v>49</v>
      </c>
      <c r="AJ620">
        <v>1</v>
      </c>
      <c r="AK620">
        <v>11</v>
      </c>
      <c r="AL620" t="s">
        <v>3257</v>
      </c>
      <c r="AM620" t="s">
        <v>3258</v>
      </c>
      <c r="AN620" t="s">
        <v>3259</v>
      </c>
      <c r="AO620" t="s">
        <v>7563</v>
      </c>
      <c r="AP620" t="s">
        <v>7564</v>
      </c>
      <c r="AQ620" t="s">
        <v>74</v>
      </c>
      <c r="AR620" t="s">
        <v>7565</v>
      </c>
      <c r="AS620" t="s">
        <v>7566</v>
      </c>
      <c r="AT620" t="s">
        <v>7567</v>
      </c>
      <c r="AU620">
        <v>2008</v>
      </c>
      <c r="AV620">
        <v>260</v>
      </c>
      <c r="AW620" t="s">
        <v>5676</v>
      </c>
      <c r="AX620" t="s">
        <v>74</v>
      </c>
      <c r="AY620" t="s">
        <v>74</v>
      </c>
      <c r="AZ620" t="s">
        <v>74</v>
      </c>
      <c r="BA620" t="s">
        <v>74</v>
      </c>
      <c r="BB620">
        <v>41</v>
      </c>
      <c r="BC620">
        <v>49</v>
      </c>
      <c r="BD620" t="s">
        <v>74</v>
      </c>
      <c r="BE620" t="s">
        <v>7615</v>
      </c>
      <c r="BF620" t="str">
        <f>HYPERLINK("http://dx.doi.org/10.1016/j.palaeo.2007.08.019","http://dx.doi.org/10.1016/j.palaeo.2007.08.019")</f>
        <v>http://dx.doi.org/10.1016/j.palaeo.2007.08.019</v>
      </c>
      <c r="BG620" t="s">
        <v>74</v>
      </c>
      <c r="BH620" t="s">
        <v>74</v>
      </c>
      <c r="BI620">
        <v>9</v>
      </c>
      <c r="BJ620" t="s">
        <v>7569</v>
      </c>
      <c r="BK620" t="s">
        <v>99</v>
      </c>
      <c r="BL620" t="s">
        <v>7570</v>
      </c>
      <c r="BM620" t="s">
        <v>7571</v>
      </c>
      <c r="BN620" t="s">
        <v>74</v>
      </c>
      <c r="BO620" t="s">
        <v>3110</v>
      </c>
      <c r="BP620" t="s">
        <v>74</v>
      </c>
      <c r="BQ620" t="s">
        <v>74</v>
      </c>
      <c r="BR620" t="s">
        <v>101</v>
      </c>
      <c r="BS620" t="s">
        <v>7616</v>
      </c>
      <c r="BT620" t="str">
        <f>HYPERLINK("https%3A%2F%2Fwww.webofscience.com%2Fwos%2Fwoscc%2Ffull-record%2FWOS:000255434800004","View Full Record in Web of Science")</f>
        <v>View Full Record in Web of Science</v>
      </c>
    </row>
    <row r="621" spans="1:72" x14ac:dyDescent="0.15">
      <c r="A621" t="s">
        <v>72</v>
      </c>
      <c r="B621" t="s">
        <v>7617</v>
      </c>
      <c r="C621" t="s">
        <v>74</v>
      </c>
      <c r="D621" t="s">
        <v>74</v>
      </c>
      <c r="E621" t="s">
        <v>74</v>
      </c>
      <c r="F621" t="s">
        <v>7618</v>
      </c>
      <c r="G621" t="s">
        <v>74</v>
      </c>
      <c r="H621" t="s">
        <v>74</v>
      </c>
      <c r="I621" t="s">
        <v>7619</v>
      </c>
      <c r="J621" t="s">
        <v>7555</v>
      </c>
      <c r="K621" t="s">
        <v>74</v>
      </c>
      <c r="L621" t="s">
        <v>74</v>
      </c>
      <c r="M621" t="s">
        <v>78</v>
      </c>
      <c r="N621" t="s">
        <v>3318</v>
      </c>
      <c r="O621" t="s">
        <v>7576</v>
      </c>
      <c r="P621" t="s">
        <v>7577</v>
      </c>
      <c r="Q621" t="s">
        <v>7578</v>
      </c>
      <c r="R621" t="s">
        <v>74</v>
      </c>
      <c r="S621" t="s">
        <v>74</v>
      </c>
      <c r="T621" t="s">
        <v>7620</v>
      </c>
      <c r="U621" t="s">
        <v>7621</v>
      </c>
      <c r="V621" t="s">
        <v>7622</v>
      </c>
      <c r="W621" t="s">
        <v>7623</v>
      </c>
      <c r="X621" t="s">
        <v>7624</v>
      </c>
      <c r="Y621" t="s">
        <v>7625</v>
      </c>
      <c r="Z621" t="s">
        <v>7626</v>
      </c>
      <c r="AA621" t="s">
        <v>74</v>
      </c>
      <c r="AB621" t="s">
        <v>7627</v>
      </c>
      <c r="AC621" t="s">
        <v>74</v>
      </c>
      <c r="AD621" t="s">
        <v>74</v>
      </c>
      <c r="AE621" t="s">
        <v>74</v>
      </c>
      <c r="AF621" t="s">
        <v>74</v>
      </c>
      <c r="AG621">
        <v>67</v>
      </c>
      <c r="AH621">
        <v>26</v>
      </c>
      <c r="AI621">
        <v>27</v>
      </c>
      <c r="AJ621">
        <v>0</v>
      </c>
      <c r="AK621">
        <v>6</v>
      </c>
      <c r="AL621" t="s">
        <v>3933</v>
      </c>
      <c r="AM621" t="s">
        <v>3258</v>
      </c>
      <c r="AN621" t="s">
        <v>3934</v>
      </c>
      <c r="AO621" t="s">
        <v>7563</v>
      </c>
      <c r="AP621" t="s">
        <v>7564</v>
      </c>
      <c r="AQ621" t="s">
        <v>74</v>
      </c>
      <c r="AR621" t="s">
        <v>7565</v>
      </c>
      <c r="AS621" t="s">
        <v>7566</v>
      </c>
      <c r="AT621" t="s">
        <v>7567</v>
      </c>
      <c r="AU621">
        <v>2008</v>
      </c>
      <c r="AV621">
        <v>260</v>
      </c>
      <c r="AW621" t="s">
        <v>5676</v>
      </c>
      <c r="AX621" t="s">
        <v>74</v>
      </c>
      <c r="AY621" t="s">
        <v>74</v>
      </c>
      <c r="AZ621" t="s">
        <v>74</v>
      </c>
      <c r="BA621" t="s">
        <v>74</v>
      </c>
      <c r="BB621">
        <v>50</v>
      </c>
      <c r="BC621">
        <v>65</v>
      </c>
      <c r="BD621" t="s">
        <v>74</v>
      </c>
      <c r="BE621" t="s">
        <v>7628</v>
      </c>
      <c r="BF621" t="str">
        <f>HYPERLINK("http://dx.doi.org/10.1016/j.palaeo.2007.08.018","http://dx.doi.org/10.1016/j.palaeo.2007.08.018")</f>
        <v>http://dx.doi.org/10.1016/j.palaeo.2007.08.018</v>
      </c>
      <c r="BG621" t="s">
        <v>74</v>
      </c>
      <c r="BH621" t="s">
        <v>74</v>
      </c>
      <c r="BI621">
        <v>16</v>
      </c>
      <c r="BJ621" t="s">
        <v>7569</v>
      </c>
      <c r="BK621" t="s">
        <v>99</v>
      </c>
      <c r="BL621" t="s">
        <v>7570</v>
      </c>
      <c r="BM621" t="s">
        <v>7571</v>
      </c>
      <c r="BN621" t="s">
        <v>74</v>
      </c>
      <c r="BO621" t="s">
        <v>3311</v>
      </c>
      <c r="BP621" t="s">
        <v>74</v>
      </c>
      <c r="BQ621" t="s">
        <v>74</v>
      </c>
      <c r="BR621" t="s">
        <v>101</v>
      </c>
      <c r="BS621" t="s">
        <v>7629</v>
      </c>
      <c r="BT621" t="str">
        <f>HYPERLINK("https%3A%2F%2Fwww.webofscience.com%2Fwos%2Fwoscc%2Ffull-record%2FWOS:000255434800005","View Full Record in Web of Science")</f>
        <v>View Full Record in Web of Science</v>
      </c>
    </row>
    <row r="622" spans="1:72" x14ac:dyDescent="0.15">
      <c r="A622" t="s">
        <v>72</v>
      </c>
      <c r="B622" t="s">
        <v>7630</v>
      </c>
      <c r="C622" t="s">
        <v>74</v>
      </c>
      <c r="D622" t="s">
        <v>74</v>
      </c>
      <c r="E622" t="s">
        <v>74</v>
      </c>
      <c r="F622" t="s">
        <v>7631</v>
      </c>
      <c r="G622" t="s">
        <v>74</v>
      </c>
      <c r="H622" t="s">
        <v>74</v>
      </c>
      <c r="I622" t="s">
        <v>7632</v>
      </c>
      <c r="J622" t="s">
        <v>7555</v>
      </c>
      <c r="K622" t="s">
        <v>74</v>
      </c>
      <c r="L622" t="s">
        <v>74</v>
      </c>
      <c r="M622" t="s">
        <v>78</v>
      </c>
      <c r="N622" t="s">
        <v>3318</v>
      </c>
      <c r="O622" t="s">
        <v>7576</v>
      </c>
      <c r="P622" t="s">
        <v>7577</v>
      </c>
      <c r="Q622" t="s">
        <v>7578</v>
      </c>
      <c r="R622" t="s">
        <v>74</v>
      </c>
      <c r="S622" t="s">
        <v>74</v>
      </c>
      <c r="T622" t="s">
        <v>74</v>
      </c>
      <c r="U622" t="s">
        <v>7633</v>
      </c>
      <c r="V622" t="s">
        <v>7634</v>
      </c>
      <c r="W622" t="s">
        <v>7635</v>
      </c>
      <c r="X622" t="s">
        <v>7636</v>
      </c>
      <c r="Y622" t="s">
        <v>7637</v>
      </c>
      <c r="Z622" t="s">
        <v>7638</v>
      </c>
      <c r="AA622" t="s">
        <v>7639</v>
      </c>
      <c r="AB622" t="s">
        <v>7640</v>
      </c>
      <c r="AC622" t="s">
        <v>74</v>
      </c>
      <c r="AD622" t="s">
        <v>74</v>
      </c>
      <c r="AE622" t="s">
        <v>74</v>
      </c>
      <c r="AF622" t="s">
        <v>74</v>
      </c>
      <c r="AG622">
        <v>47</v>
      </c>
      <c r="AH622">
        <v>27</v>
      </c>
      <c r="AI622">
        <v>32</v>
      </c>
      <c r="AJ622">
        <v>0</v>
      </c>
      <c r="AK622">
        <v>9</v>
      </c>
      <c r="AL622" t="s">
        <v>3933</v>
      </c>
      <c r="AM622" t="s">
        <v>3258</v>
      </c>
      <c r="AN622" t="s">
        <v>3934</v>
      </c>
      <c r="AO622" t="s">
        <v>7563</v>
      </c>
      <c r="AP622" t="s">
        <v>7564</v>
      </c>
      <c r="AQ622" t="s">
        <v>74</v>
      </c>
      <c r="AR622" t="s">
        <v>7565</v>
      </c>
      <c r="AS622" t="s">
        <v>7566</v>
      </c>
      <c r="AT622" t="s">
        <v>7567</v>
      </c>
      <c r="AU622">
        <v>2008</v>
      </c>
      <c r="AV622">
        <v>260</v>
      </c>
      <c r="AW622" t="s">
        <v>5676</v>
      </c>
      <c r="AX622" t="s">
        <v>74</v>
      </c>
      <c r="AY622" t="s">
        <v>74</v>
      </c>
      <c r="AZ622" t="s">
        <v>74</v>
      </c>
      <c r="BA622" t="s">
        <v>74</v>
      </c>
      <c r="BB622">
        <v>66</v>
      </c>
      <c r="BC622">
        <v>76</v>
      </c>
      <c r="BD622" t="s">
        <v>74</v>
      </c>
      <c r="BE622" t="s">
        <v>7641</v>
      </c>
      <c r="BF622" t="str">
        <f>HYPERLINK("http://dx.doi.org/10.1016/j.palaeo.2007.08.021","http://dx.doi.org/10.1016/j.palaeo.2007.08.021")</f>
        <v>http://dx.doi.org/10.1016/j.palaeo.2007.08.021</v>
      </c>
      <c r="BG622" t="s">
        <v>74</v>
      </c>
      <c r="BH622" t="s">
        <v>74</v>
      </c>
      <c r="BI622">
        <v>11</v>
      </c>
      <c r="BJ622" t="s">
        <v>7569</v>
      </c>
      <c r="BK622" t="s">
        <v>99</v>
      </c>
      <c r="BL622" t="s">
        <v>7570</v>
      </c>
      <c r="BM622" t="s">
        <v>7571</v>
      </c>
      <c r="BN622" t="s">
        <v>74</v>
      </c>
      <c r="BO622" t="s">
        <v>74</v>
      </c>
      <c r="BP622" t="s">
        <v>74</v>
      </c>
      <c r="BQ622" t="s">
        <v>74</v>
      </c>
      <c r="BR622" t="s">
        <v>101</v>
      </c>
      <c r="BS622" t="s">
        <v>7642</v>
      </c>
      <c r="BT622" t="str">
        <f>HYPERLINK("https%3A%2F%2Fwww.webofscience.com%2Fwos%2Fwoscc%2Ffull-record%2FWOS:000255434800006","View Full Record in Web of Science")</f>
        <v>View Full Record in Web of Science</v>
      </c>
    </row>
    <row r="623" spans="1:72" x14ac:dyDescent="0.15">
      <c r="A623" t="s">
        <v>72</v>
      </c>
      <c r="B623" t="s">
        <v>7643</v>
      </c>
      <c r="C623" t="s">
        <v>74</v>
      </c>
      <c r="D623" t="s">
        <v>74</v>
      </c>
      <c r="E623" t="s">
        <v>74</v>
      </c>
      <c r="F623" t="s">
        <v>7644</v>
      </c>
      <c r="G623" t="s">
        <v>74</v>
      </c>
      <c r="H623" t="s">
        <v>74</v>
      </c>
      <c r="I623" t="s">
        <v>7645</v>
      </c>
      <c r="J623" t="s">
        <v>7555</v>
      </c>
      <c r="K623" t="s">
        <v>74</v>
      </c>
      <c r="L623" t="s">
        <v>74</v>
      </c>
      <c r="M623" t="s">
        <v>78</v>
      </c>
      <c r="N623" t="s">
        <v>3318</v>
      </c>
      <c r="O623" t="s">
        <v>7576</v>
      </c>
      <c r="P623" t="s">
        <v>7577</v>
      </c>
      <c r="Q623" t="s">
        <v>7578</v>
      </c>
      <c r="R623" t="s">
        <v>74</v>
      </c>
      <c r="S623" t="s">
        <v>74</v>
      </c>
      <c r="T623" t="s">
        <v>7646</v>
      </c>
      <c r="U623" t="s">
        <v>7647</v>
      </c>
      <c r="V623" t="s">
        <v>7648</v>
      </c>
      <c r="W623" t="s">
        <v>7649</v>
      </c>
      <c r="X623" t="s">
        <v>7650</v>
      </c>
      <c r="Y623" t="s">
        <v>7651</v>
      </c>
      <c r="Z623" t="s">
        <v>7652</v>
      </c>
      <c r="AA623" t="s">
        <v>7653</v>
      </c>
      <c r="AB623" t="s">
        <v>7654</v>
      </c>
      <c r="AC623" t="s">
        <v>74</v>
      </c>
      <c r="AD623" t="s">
        <v>74</v>
      </c>
      <c r="AE623" t="s">
        <v>74</v>
      </c>
      <c r="AF623" t="s">
        <v>74</v>
      </c>
      <c r="AG623">
        <v>68</v>
      </c>
      <c r="AH623">
        <v>27</v>
      </c>
      <c r="AI623">
        <v>31</v>
      </c>
      <c r="AJ623">
        <v>1</v>
      </c>
      <c r="AK623">
        <v>7</v>
      </c>
      <c r="AL623" t="s">
        <v>3933</v>
      </c>
      <c r="AM623" t="s">
        <v>3258</v>
      </c>
      <c r="AN623" t="s">
        <v>3934</v>
      </c>
      <c r="AO623" t="s">
        <v>7563</v>
      </c>
      <c r="AP623" t="s">
        <v>7564</v>
      </c>
      <c r="AQ623" t="s">
        <v>74</v>
      </c>
      <c r="AR623" t="s">
        <v>7565</v>
      </c>
      <c r="AS623" t="s">
        <v>7566</v>
      </c>
      <c r="AT623" t="s">
        <v>7567</v>
      </c>
      <c r="AU623">
        <v>2008</v>
      </c>
      <c r="AV623">
        <v>260</v>
      </c>
      <c r="AW623" t="s">
        <v>5676</v>
      </c>
      <c r="AX623" t="s">
        <v>74</v>
      </c>
      <c r="AY623" t="s">
        <v>74</v>
      </c>
      <c r="AZ623" t="s">
        <v>74</v>
      </c>
      <c r="BA623" t="s">
        <v>74</v>
      </c>
      <c r="BB623">
        <v>77</v>
      </c>
      <c r="BC623">
        <v>91</v>
      </c>
      <c r="BD623" t="s">
        <v>74</v>
      </c>
      <c r="BE623" t="s">
        <v>7655</v>
      </c>
      <c r="BF623" t="str">
        <f>HYPERLINK("http://dx.doi.org/10.1016/j.palaeo.2007.08.008","http://dx.doi.org/10.1016/j.palaeo.2007.08.008")</f>
        <v>http://dx.doi.org/10.1016/j.palaeo.2007.08.008</v>
      </c>
      <c r="BG623" t="s">
        <v>74</v>
      </c>
      <c r="BH623" t="s">
        <v>74</v>
      </c>
      <c r="BI623">
        <v>15</v>
      </c>
      <c r="BJ623" t="s">
        <v>7569</v>
      </c>
      <c r="BK623" t="s">
        <v>99</v>
      </c>
      <c r="BL623" t="s">
        <v>7570</v>
      </c>
      <c r="BM623" t="s">
        <v>7571</v>
      </c>
      <c r="BN623" t="s">
        <v>74</v>
      </c>
      <c r="BO623" t="s">
        <v>74</v>
      </c>
      <c r="BP623" t="s">
        <v>74</v>
      </c>
      <c r="BQ623" t="s">
        <v>74</v>
      </c>
      <c r="BR623" t="s">
        <v>101</v>
      </c>
      <c r="BS623" t="s">
        <v>7656</v>
      </c>
      <c r="BT623" t="str">
        <f>HYPERLINK("https%3A%2F%2Fwww.webofscience.com%2Fwos%2Fwoscc%2Ffull-record%2FWOS:000255434800007","View Full Record in Web of Science")</f>
        <v>View Full Record in Web of Science</v>
      </c>
    </row>
    <row r="624" spans="1:72" x14ac:dyDescent="0.15">
      <c r="A624" t="s">
        <v>72</v>
      </c>
      <c r="B624" t="s">
        <v>7657</v>
      </c>
      <c r="C624" t="s">
        <v>74</v>
      </c>
      <c r="D624" t="s">
        <v>74</v>
      </c>
      <c r="E624" t="s">
        <v>74</v>
      </c>
      <c r="F624" t="s">
        <v>7658</v>
      </c>
      <c r="G624" t="s">
        <v>74</v>
      </c>
      <c r="H624" t="s">
        <v>74</v>
      </c>
      <c r="I624" t="s">
        <v>7659</v>
      </c>
      <c r="J624" t="s">
        <v>7555</v>
      </c>
      <c r="K624" t="s">
        <v>74</v>
      </c>
      <c r="L624" t="s">
        <v>74</v>
      </c>
      <c r="M624" t="s">
        <v>78</v>
      </c>
      <c r="N624" t="s">
        <v>3318</v>
      </c>
      <c r="O624" t="s">
        <v>7576</v>
      </c>
      <c r="P624" t="s">
        <v>7577</v>
      </c>
      <c r="Q624" t="s">
        <v>7578</v>
      </c>
      <c r="R624" t="s">
        <v>74</v>
      </c>
      <c r="S624" t="s">
        <v>74</v>
      </c>
      <c r="T624" t="s">
        <v>7660</v>
      </c>
      <c r="U624" t="s">
        <v>7661</v>
      </c>
      <c r="V624" t="s">
        <v>7662</v>
      </c>
      <c r="W624" t="s">
        <v>7663</v>
      </c>
      <c r="X624" t="s">
        <v>7664</v>
      </c>
      <c r="Y624" t="s">
        <v>7665</v>
      </c>
      <c r="Z624" t="s">
        <v>7666</v>
      </c>
      <c r="AA624" t="s">
        <v>7667</v>
      </c>
      <c r="AB624" t="s">
        <v>7668</v>
      </c>
      <c r="AC624" t="s">
        <v>74</v>
      </c>
      <c r="AD624" t="s">
        <v>74</v>
      </c>
      <c r="AE624" t="s">
        <v>74</v>
      </c>
      <c r="AF624" t="s">
        <v>74</v>
      </c>
      <c r="AG624">
        <v>69</v>
      </c>
      <c r="AH624">
        <v>80</v>
      </c>
      <c r="AI624">
        <v>95</v>
      </c>
      <c r="AJ624">
        <v>0</v>
      </c>
      <c r="AK624">
        <v>9</v>
      </c>
      <c r="AL624" t="s">
        <v>3933</v>
      </c>
      <c r="AM624" t="s">
        <v>3258</v>
      </c>
      <c r="AN624" t="s">
        <v>3934</v>
      </c>
      <c r="AO624" t="s">
        <v>7563</v>
      </c>
      <c r="AP624" t="s">
        <v>7564</v>
      </c>
      <c r="AQ624" t="s">
        <v>74</v>
      </c>
      <c r="AR624" t="s">
        <v>7565</v>
      </c>
      <c r="AS624" t="s">
        <v>7566</v>
      </c>
      <c r="AT624" t="s">
        <v>7567</v>
      </c>
      <c r="AU624">
        <v>2008</v>
      </c>
      <c r="AV624">
        <v>260</v>
      </c>
      <c r="AW624" t="s">
        <v>5676</v>
      </c>
      <c r="AX624" t="s">
        <v>74</v>
      </c>
      <c r="AY624" t="s">
        <v>74</v>
      </c>
      <c r="AZ624" t="s">
        <v>74</v>
      </c>
      <c r="BA624" t="s">
        <v>74</v>
      </c>
      <c r="BB624">
        <v>92</v>
      </c>
      <c r="BC624">
        <v>121</v>
      </c>
      <c r="BD624" t="s">
        <v>74</v>
      </c>
      <c r="BE624" t="s">
        <v>7669</v>
      </c>
      <c r="BF624" t="str">
        <f>HYPERLINK("http://dx.doi.org/10.1016/j.palaeo.2007.08.020","http://dx.doi.org/10.1016/j.palaeo.2007.08.020")</f>
        <v>http://dx.doi.org/10.1016/j.palaeo.2007.08.020</v>
      </c>
      <c r="BG624" t="s">
        <v>74</v>
      </c>
      <c r="BH624" t="s">
        <v>74</v>
      </c>
      <c r="BI624">
        <v>30</v>
      </c>
      <c r="BJ624" t="s">
        <v>7569</v>
      </c>
      <c r="BK624" t="s">
        <v>99</v>
      </c>
      <c r="BL624" t="s">
        <v>7570</v>
      </c>
      <c r="BM624" t="s">
        <v>7571</v>
      </c>
      <c r="BN624" t="s">
        <v>74</v>
      </c>
      <c r="BO624" t="s">
        <v>74</v>
      </c>
      <c r="BP624" t="s">
        <v>74</v>
      </c>
      <c r="BQ624" t="s">
        <v>74</v>
      </c>
      <c r="BR624" t="s">
        <v>101</v>
      </c>
      <c r="BS624" t="s">
        <v>7670</v>
      </c>
      <c r="BT624" t="str">
        <f>HYPERLINK("https%3A%2F%2Fwww.webofscience.com%2Fwos%2Fwoscc%2Ffull-record%2FWOS:000255434800008","View Full Record in Web of Science")</f>
        <v>View Full Record in Web of Science</v>
      </c>
    </row>
    <row r="625" spans="1:72" x14ac:dyDescent="0.15">
      <c r="A625" t="s">
        <v>72</v>
      </c>
      <c r="B625" t="s">
        <v>7671</v>
      </c>
      <c r="C625" t="s">
        <v>74</v>
      </c>
      <c r="D625" t="s">
        <v>74</v>
      </c>
      <c r="E625" t="s">
        <v>74</v>
      </c>
      <c r="F625" t="s">
        <v>7672</v>
      </c>
      <c r="G625" t="s">
        <v>74</v>
      </c>
      <c r="H625" t="s">
        <v>74</v>
      </c>
      <c r="I625" t="s">
        <v>7673</v>
      </c>
      <c r="J625" t="s">
        <v>7555</v>
      </c>
      <c r="K625" t="s">
        <v>74</v>
      </c>
      <c r="L625" t="s">
        <v>74</v>
      </c>
      <c r="M625" t="s">
        <v>78</v>
      </c>
      <c r="N625" t="s">
        <v>3318</v>
      </c>
      <c r="O625" t="s">
        <v>7576</v>
      </c>
      <c r="P625" t="s">
        <v>7577</v>
      </c>
      <c r="Q625" t="s">
        <v>7578</v>
      </c>
      <c r="R625" t="s">
        <v>74</v>
      </c>
      <c r="S625" t="s">
        <v>74</v>
      </c>
      <c r="T625" t="s">
        <v>7674</v>
      </c>
      <c r="U625" t="s">
        <v>7675</v>
      </c>
      <c r="V625" t="s">
        <v>7676</v>
      </c>
      <c r="W625" t="s">
        <v>7677</v>
      </c>
      <c r="X625" t="s">
        <v>7678</v>
      </c>
      <c r="Y625" t="s">
        <v>7679</v>
      </c>
      <c r="Z625" t="s">
        <v>7680</v>
      </c>
      <c r="AA625" t="s">
        <v>7681</v>
      </c>
      <c r="AB625" t="s">
        <v>7682</v>
      </c>
      <c r="AC625" t="s">
        <v>3387</v>
      </c>
      <c r="AD625" t="s">
        <v>2792</v>
      </c>
      <c r="AE625" t="s">
        <v>74</v>
      </c>
      <c r="AF625" t="s">
        <v>74</v>
      </c>
      <c r="AG625">
        <v>98</v>
      </c>
      <c r="AH625">
        <v>117</v>
      </c>
      <c r="AI625">
        <v>126</v>
      </c>
      <c r="AJ625">
        <v>1</v>
      </c>
      <c r="AK625">
        <v>17</v>
      </c>
      <c r="AL625" t="s">
        <v>3933</v>
      </c>
      <c r="AM625" t="s">
        <v>3258</v>
      </c>
      <c r="AN625" t="s">
        <v>3934</v>
      </c>
      <c r="AO625" t="s">
        <v>7563</v>
      </c>
      <c r="AP625" t="s">
        <v>7564</v>
      </c>
      <c r="AQ625" t="s">
        <v>74</v>
      </c>
      <c r="AR625" t="s">
        <v>7565</v>
      </c>
      <c r="AS625" t="s">
        <v>7566</v>
      </c>
      <c r="AT625" t="s">
        <v>7567</v>
      </c>
      <c r="AU625">
        <v>2008</v>
      </c>
      <c r="AV625">
        <v>260</v>
      </c>
      <c r="AW625" t="s">
        <v>5676</v>
      </c>
      <c r="AX625" t="s">
        <v>74</v>
      </c>
      <c r="AY625" t="s">
        <v>74</v>
      </c>
      <c r="AZ625" t="s">
        <v>74</v>
      </c>
      <c r="BA625" t="s">
        <v>74</v>
      </c>
      <c r="BB625">
        <v>122</v>
      </c>
      <c r="BC625">
        <v>148</v>
      </c>
      <c r="BD625" t="s">
        <v>74</v>
      </c>
      <c r="BE625" t="s">
        <v>7683</v>
      </c>
      <c r="BF625" t="str">
        <f>HYPERLINK("http://dx.doi.org/10.1016/j.palaeo.2007.08.011","http://dx.doi.org/10.1016/j.palaeo.2007.08.011")</f>
        <v>http://dx.doi.org/10.1016/j.palaeo.2007.08.011</v>
      </c>
      <c r="BG625" t="s">
        <v>74</v>
      </c>
      <c r="BH625" t="s">
        <v>74</v>
      </c>
      <c r="BI625">
        <v>27</v>
      </c>
      <c r="BJ625" t="s">
        <v>7569</v>
      </c>
      <c r="BK625" t="s">
        <v>99</v>
      </c>
      <c r="BL625" t="s">
        <v>7570</v>
      </c>
      <c r="BM625" t="s">
        <v>7571</v>
      </c>
      <c r="BN625" t="s">
        <v>74</v>
      </c>
      <c r="BO625" t="s">
        <v>74</v>
      </c>
      <c r="BP625" t="s">
        <v>74</v>
      </c>
      <c r="BQ625" t="s">
        <v>74</v>
      </c>
      <c r="BR625" t="s">
        <v>101</v>
      </c>
      <c r="BS625" t="s">
        <v>7684</v>
      </c>
      <c r="BT625" t="str">
        <f>HYPERLINK("https%3A%2F%2Fwww.webofscience.com%2Fwos%2Fwoscc%2Ffull-record%2FWOS:000255434800009","View Full Record in Web of Science")</f>
        <v>View Full Record in Web of Science</v>
      </c>
    </row>
    <row r="626" spans="1:72" x14ac:dyDescent="0.15">
      <c r="A626" t="s">
        <v>72</v>
      </c>
      <c r="B626" t="s">
        <v>7685</v>
      </c>
      <c r="C626" t="s">
        <v>74</v>
      </c>
      <c r="D626" t="s">
        <v>74</v>
      </c>
      <c r="E626" t="s">
        <v>74</v>
      </c>
      <c r="F626" t="s">
        <v>7686</v>
      </c>
      <c r="G626" t="s">
        <v>74</v>
      </c>
      <c r="H626" t="s">
        <v>74</v>
      </c>
      <c r="I626" t="s">
        <v>7687</v>
      </c>
      <c r="J626" t="s">
        <v>7555</v>
      </c>
      <c r="K626" t="s">
        <v>74</v>
      </c>
      <c r="L626" t="s">
        <v>74</v>
      </c>
      <c r="M626" t="s">
        <v>78</v>
      </c>
      <c r="N626" t="s">
        <v>3318</v>
      </c>
      <c r="O626" t="s">
        <v>7576</v>
      </c>
      <c r="P626" t="s">
        <v>7577</v>
      </c>
      <c r="Q626" t="s">
        <v>7578</v>
      </c>
      <c r="R626" t="s">
        <v>74</v>
      </c>
      <c r="S626" t="s">
        <v>74</v>
      </c>
      <c r="T626" t="s">
        <v>7688</v>
      </c>
      <c r="U626" t="s">
        <v>7689</v>
      </c>
      <c r="V626" t="s">
        <v>7690</v>
      </c>
      <c r="W626" t="s">
        <v>7691</v>
      </c>
      <c r="X626" t="s">
        <v>7692</v>
      </c>
      <c r="Y626" t="s">
        <v>7693</v>
      </c>
      <c r="Z626" t="s">
        <v>7694</v>
      </c>
      <c r="AA626" t="s">
        <v>7695</v>
      </c>
      <c r="AB626" t="s">
        <v>7696</v>
      </c>
      <c r="AC626" t="s">
        <v>7697</v>
      </c>
      <c r="AD626" t="s">
        <v>7698</v>
      </c>
      <c r="AE626" t="s">
        <v>74</v>
      </c>
      <c r="AF626" t="s">
        <v>74</v>
      </c>
      <c r="AG626">
        <v>109</v>
      </c>
      <c r="AH626">
        <v>36</v>
      </c>
      <c r="AI626">
        <v>41</v>
      </c>
      <c r="AJ626">
        <v>0</v>
      </c>
      <c r="AK626">
        <v>6</v>
      </c>
      <c r="AL626" t="s">
        <v>3933</v>
      </c>
      <c r="AM626" t="s">
        <v>3258</v>
      </c>
      <c r="AN626" t="s">
        <v>3934</v>
      </c>
      <c r="AO626" t="s">
        <v>7563</v>
      </c>
      <c r="AP626" t="s">
        <v>7564</v>
      </c>
      <c r="AQ626" t="s">
        <v>74</v>
      </c>
      <c r="AR626" t="s">
        <v>7565</v>
      </c>
      <c r="AS626" t="s">
        <v>7566</v>
      </c>
      <c r="AT626" t="s">
        <v>7567</v>
      </c>
      <c r="AU626">
        <v>2008</v>
      </c>
      <c r="AV626">
        <v>260</v>
      </c>
      <c r="AW626" t="s">
        <v>5676</v>
      </c>
      <c r="AX626" t="s">
        <v>74</v>
      </c>
      <c r="AY626" t="s">
        <v>74</v>
      </c>
      <c r="AZ626" t="s">
        <v>74</v>
      </c>
      <c r="BA626" t="s">
        <v>74</v>
      </c>
      <c r="BB626">
        <v>149</v>
      </c>
      <c r="BC626">
        <v>167</v>
      </c>
      <c r="BD626" t="s">
        <v>74</v>
      </c>
      <c r="BE626" t="s">
        <v>7699</v>
      </c>
      <c r="BF626" t="str">
        <f>HYPERLINK("http://dx.doi.org/10.1016/j.palaeo.2007.08.009","http://dx.doi.org/10.1016/j.palaeo.2007.08.009")</f>
        <v>http://dx.doi.org/10.1016/j.palaeo.2007.08.009</v>
      </c>
      <c r="BG626" t="s">
        <v>74</v>
      </c>
      <c r="BH626" t="s">
        <v>74</v>
      </c>
      <c r="BI626">
        <v>19</v>
      </c>
      <c r="BJ626" t="s">
        <v>7569</v>
      </c>
      <c r="BK626" t="s">
        <v>99</v>
      </c>
      <c r="BL626" t="s">
        <v>7570</v>
      </c>
      <c r="BM626" t="s">
        <v>7571</v>
      </c>
      <c r="BN626" t="s">
        <v>74</v>
      </c>
      <c r="BO626" t="s">
        <v>74</v>
      </c>
      <c r="BP626" t="s">
        <v>74</v>
      </c>
      <c r="BQ626" t="s">
        <v>74</v>
      </c>
      <c r="BR626" t="s">
        <v>101</v>
      </c>
      <c r="BS626" t="s">
        <v>7700</v>
      </c>
      <c r="BT626" t="str">
        <f>HYPERLINK("https%3A%2F%2Fwww.webofscience.com%2Fwos%2Fwoscc%2Ffull-record%2FWOS:000255434800010","View Full Record in Web of Science")</f>
        <v>View Full Record in Web of Science</v>
      </c>
    </row>
    <row r="627" spans="1:72" x14ac:dyDescent="0.15">
      <c r="A627" t="s">
        <v>72</v>
      </c>
      <c r="B627" t="s">
        <v>7701</v>
      </c>
      <c r="C627" t="s">
        <v>74</v>
      </c>
      <c r="D627" t="s">
        <v>74</v>
      </c>
      <c r="E627" t="s">
        <v>74</v>
      </c>
      <c r="F627" t="s">
        <v>7702</v>
      </c>
      <c r="G627" t="s">
        <v>74</v>
      </c>
      <c r="H627" t="s">
        <v>74</v>
      </c>
      <c r="I627" t="s">
        <v>7703</v>
      </c>
      <c r="J627" t="s">
        <v>7555</v>
      </c>
      <c r="K627" t="s">
        <v>74</v>
      </c>
      <c r="L627" t="s">
        <v>74</v>
      </c>
      <c r="M627" t="s">
        <v>78</v>
      </c>
      <c r="N627" t="s">
        <v>3318</v>
      </c>
      <c r="O627" t="s">
        <v>7576</v>
      </c>
      <c r="P627" t="s">
        <v>7577</v>
      </c>
      <c r="Q627" t="s">
        <v>7578</v>
      </c>
      <c r="R627" t="s">
        <v>74</v>
      </c>
      <c r="S627" t="s">
        <v>74</v>
      </c>
      <c r="T627" t="s">
        <v>7704</v>
      </c>
      <c r="U627" t="s">
        <v>7705</v>
      </c>
      <c r="V627" t="s">
        <v>7706</v>
      </c>
      <c r="W627" t="s">
        <v>7707</v>
      </c>
      <c r="X627" t="s">
        <v>7708</v>
      </c>
      <c r="Y627" t="s">
        <v>7709</v>
      </c>
      <c r="Z627" t="s">
        <v>7710</v>
      </c>
      <c r="AA627" t="s">
        <v>7711</v>
      </c>
      <c r="AB627" t="s">
        <v>7712</v>
      </c>
      <c r="AC627" t="s">
        <v>74</v>
      </c>
      <c r="AD627" t="s">
        <v>74</v>
      </c>
      <c r="AE627" t="s">
        <v>74</v>
      </c>
      <c r="AF627" t="s">
        <v>74</v>
      </c>
      <c r="AG627">
        <v>49</v>
      </c>
      <c r="AH627">
        <v>19</v>
      </c>
      <c r="AI627">
        <v>21</v>
      </c>
      <c r="AJ627">
        <v>0</v>
      </c>
      <c r="AK627">
        <v>4</v>
      </c>
      <c r="AL627" t="s">
        <v>3933</v>
      </c>
      <c r="AM627" t="s">
        <v>3258</v>
      </c>
      <c r="AN627" t="s">
        <v>3934</v>
      </c>
      <c r="AO627" t="s">
        <v>7563</v>
      </c>
      <c r="AP627" t="s">
        <v>7564</v>
      </c>
      <c r="AQ627" t="s">
        <v>74</v>
      </c>
      <c r="AR627" t="s">
        <v>7565</v>
      </c>
      <c r="AS627" t="s">
        <v>7566</v>
      </c>
      <c r="AT627" t="s">
        <v>7567</v>
      </c>
      <c r="AU627">
        <v>2008</v>
      </c>
      <c r="AV627">
        <v>260</v>
      </c>
      <c r="AW627" t="s">
        <v>5676</v>
      </c>
      <c r="AX627" t="s">
        <v>74</v>
      </c>
      <c r="AY627" t="s">
        <v>74</v>
      </c>
      <c r="AZ627" t="s">
        <v>74</v>
      </c>
      <c r="BA627" t="s">
        <v>74</v>
      </c>
      <c r="BB627">
        <v>168</v>
      </c>
      <c r="BC627">
        <v>183</v>
      </c>
      <c r="BD627" t="s">
        <v>74</v>
      </c>
      <c r="BE627" t="s">
        <v>7713</v>
      </c>
      <c r="BF627" t="str">
        <f>HYPERLINK("http://dx.doi.org/10.1016/j.palaeo.2007.08.014","http://dx.doi.org/10.1016/j.palaeo.2007.08.014")</f>
        <v>http://dx.doi.org/10.1016/j.palaeo.2007.08.014</v>
      </c>
      <c r="BG627" t="s">
        <v>74</v>
      </c>
      <c r="BH627" t="s">
        <v>74</v>
      </c>
      <c r="BI627">
        <v>16</v>
      </c>
      <c r="BJ627" t="s">
        <v>7569</v>
      </c>
      <c r="BK627" t="s">
        <v>99</v>
      </c>
      <c r="BL627" t="s">
        <v>7570</v>
      </c>
      <c r="BM627" t="s">
        <v>7571</v>
      </c>
      <c r="BN627" t="s">
        <v>74</v>
      </c>
      <c r="BO627" t="s">
        <v>74</v>
      </c>
      <c r="BP627" t="s">
        <v>74</v>
      </c>
      <c r="BQ627" t="s">
        <v>74</v>
      </c>
      <c r="BR627" t="s">
        <v>101</v>
      </c>
      <c r="BS627" t="s">
        <v>7714</v>
      </c>
      <c r="BT627" t="str">
        <f>HYPERLINK("https%3A%2F%2Fwww.webofscience.com%2Fwos%2Fwoscc%2Ffull-record%2FWOS:000255434800011","View Full Record in Web of Science")</f>
        <v>View Full Record in Web of Science</v>
      </c>
    </row>
    <row r="628" spans="1:72" x14ac:dyDescent="0.15">
      <c r="A628" t="s">
        <v>72</v>
      </c>
      <c r="B628" t="s">
        <v>7715</v>
      </c>
      <c r="C628" t="s">
        <v>74</v>
      </c>
      <c r="D628" t="s">
        <v>74</v>
      </c>
      <c r="E628" t="s">
        <v>74</v>
      </c>
      <c r="F628" t="s">
        <v>7716</v>
      </c>
      <c r="G628" t="s">
        <v>74</v>
      </c>
      <c r="H628" t="s">
        <v>74</v>
      </c>
      <c r="I628" t="s">
        <v>7717</v>
      </c>
      <c r="J628" t="s">
        <v>7555</v>
      </c>
      <c r="K628" t="s">
        <v>74</v>
      </c>
      <c r="L628" t="s">
        <v>74</v>
      </c>
      <c r="M628" t="s">
        <v>78</v>
      </c>
      <c r="N628" t="s">
        <v>3318</v>
      </c>
      <c r="O628" t="s">
        <v>7576</v>
      </c>
      <c r="P628" t="s">
        <v>7577</v>
      </c>
      <c r="Q628" t="s">
        <v>7578</v>
      </c>
      <c r="R628" t="s">
        <v>74</v>
      </c>
      <c r="S628" t="s">
        <v>74</v>
      </c>
      <c r="T628" t="s">
        <v>7718</v>
      </c>
      <c r="U628" t="s">
        <v>7719</v>
      </c>
      <c r="V628" t="s">
        <v>7720</v>
      </c>
      <c r="W628" t="s">
        <v>7721</v>
      </c>
      <c r="X628" t="s">
        <v>7722</v>
      </c>
      <c r="Y628" t="s">
        <v>7723</v>
      </c>
      <c r="Z628" t="s">
        <v>7724</v>
      </c>
      <c r="AA628" t="s">
        <v>7725</v>
      </c>
      <c r="AB628" t="s">
        <v>7726</v>
      </c>
      <c r="AC628" t="s">
        <v>74</v>
      </c>
      <c r="AD628" t="s">
        <v>74</v>
      </c>
      <c r="AE628" t="s">
        <v>74</v>
      </c>
      <c r="AF628" t="s">
        <v>74</v>
      </c>
      <c r="AG628">
        <v>51</v>
      </c>
      <c r="AH628">
        <v>19</v>
      </c>
      <c r="AI628">
        <v>21</v>
      </c>
      <c r="AJ628">
        <v>0</v>
      </c>
      <c r="AK628">
        <v>15</v>
      </c>
      <c r="AL628" t="s">
        <v>3257</v>
      </c>
      <c r="AM628" t="s">
        <v>3258</v>
      </c>
      <c r="AN628" t="s">
        <v>3259</v>
      </c>
      <c r="AO628" t="s">
        <v>7563</v>
      </c>
      <c r="AP628" t="s">
        <v>74</v>
      </c>
      <c r="AQ628" t="s">
        <v>74</v>
      </c>
      <c r="AR628" t="s">
        <v>7565</v>
      </c>
      <c r="AS628" t="s">
        <v>7566</v>
      </c>
      <c r="AT628" t="s">
        <v>7567</v>
      </c>
      <c r="AU628">
        <v>2008</v>
      </c>
      <c r="AV628">
        <v>260</v>
      </c>
      <c r="AW628" t="s">
        <v>5676</v>
      </c>
      <c r="AX628" t="s">
        <v>74</v>
      </c>
      <c r="AY628" t="s">
        <v>74</v>
      </c>
      <c r="AZ628" t="s">
        <v>74</v>
      </c>
      <c r="BA628" t="s">
        <v>74</v>
      </c>
      <c r="BB628">
        <v>184</v>
      </c>
      <c r="BC628">
        <v>201</v>
      </c>
      <c r="BD628" t="s">
        <v>74</v>
      </c>
      <c r="BE628" t="s">
        <v>7727</v>
      </c>
      <c r="BF628" t="str">
        <f>HYPERLINK("http://dx.doi.org/10.1016/j.palaeo.2007.08.022","http://dx.doi.org/10.1016/j.palaeo.2007.08.022")</f>
        <v>http://dx.doi.org/10.1016/j.palaeo.2007.08.022</v>
      </c>
      <c r="BG628" t="s">
        <v>74</v>
      </c>
      <c r="BH628" t="s">
        <v>74</v>
      </c>
      <c r="BI628">
        <v>18</v>
      </c>
      <c r="BJ628" t="s">
        <v>7569</v>
      </c>
      <c r="BK628" t="s">
        <v>99</v>
      </c>
      <c r="BL628" t="s">
        <v>7570</v>
      </c>
      <c r="BM628" t="s">
        <v>7571</v>
      </c>
      <c r="BN628" t="s">
        <v>74</v>
      </c>
      <c r="BO628" t="s">
        <v>74</v>
      </c>
      <c r="BP628" t="s">
        <v>74</v>
      </c>
      <c r="BQ628" t="s">
        <v>74</v>
      </c>
      <c r="BR628" t="s">
        <v>101</v>
      </c>
      <c r="BS628" t="s">
        <v>7728</v>
      </c>
      <c r="BT628" t="str">
        <f>HYPERLINK("https%3A%2F%2Fwww.webofscience.com%2Fwos%2Fwoscc%2Ffull-record%2FWOS:000255434800012","View Full Record in Web of Science")</f>
        <v>View Full Record in Web of Science</v>
      </c>
    </row>
    <row r="629" spans="1:72" x14ac:dyDescent="0.15">
      <c r="A629" t="s">
        <v>72</v>
      </c>
      <c r="B629" t="s">
        <v>7729</v>
      </c>
      <c r="C629" t="s">
        <v>74</v>
      </c>
      <c r="D629" t="s">
        <v>74</v>
      </c>
      <c r="E629" t="s">
        <v>74</v>
      </c>
      <c r="F629" t="s">
        <v>7730</v>
      </c>
      <c r="G629" t="s">
        <v>74</v>
      </c>
      <c r="H629" t="s">
        <v>74</v>
      </c>
      <c r="I629" t="s">
        <v>7731</v>
      </c>
      <c r="J629" t="s">
        <v>7555</v>
      </c>
      <c r="K629" t="s">
        <v>74</v>
      </c>
      <c r="L629" t="s">
        <v>74</v>
      </c>
      <c r="M629" t="s">
        <v>78</v>
      </c>
      <c r="N629" t="s">
        <v>3318</v>
      </c>
      <c r="O629" t="s">
        <v>7576</v>
      </c>
      <c r="P629" t="s">
        <v>7577</v>
      </c>
      <c r="Q629" t="s">
        <v>7578</v>
      </c>
      <c r="R629" t="s">
        <v>74</v>
      </c>
      <c r="S629" t="s">
        <v>74</v>
      </c>
      <c r="T629" t="s">
        <v>7732</v>
      </c>
      <c r="U629" t="s">
        <v>7733</v>
      </c>
      <c r="V629" t="s">
        <v>7734</v>
      </c>
      <c r="W629" t="s">
        <v>7735</v>
      </c>
      <c r="X629" t="s">
        <v>7736</v>
      </c>
      <c r="Y629" t="s">
        <v>7737</v>
      </c>
      <c r="Z629" t="s">
        <v>7738</v>
      </c>
      <c r="AA629" t="s">
        <v>74</v>
      </c>
      <c r="AB629" t="s">
        <v>7739</v>
      </c>
      <c r="AC629" t="s">
        <v>74</v>
      </c>
      <c r="AD629" t="s">
        <v>74</v>
      </c>
      <c r="AE629" t="s">
        <v>74</v>
      </c>
      <c r="AF629" t="s">
        <v>74</v>
      </c>
      <c r="AG629">
        <v>111</v>
      </c>
      <c r="AH629">
        <v>91</v>
      </c>
      <c r="AI629">
        <v>100</v>
      </c>
      <c r="AJ629">
        <v>1</v>
      </c>
      <c r="AK629">
        <v>35</v>
      </c>
      <c r="AL629" t="s">
        <v>3257</v>
      </c>
      <c r="AM629" t="s">
        <v>3258</v>
      </c>
      <c r="AN629" t="s">
        <v>3259</v>
      </c>
      <c r="AO629" t="s">
        <v>7563</v>
      </c>
      <c r="AP629" t="s">
        <v>74</v>
      </c>
      <c r="AQ629" t="s">
        <v>74</v>
      </c>
      <c r="AR629" t="s">
        <v>7565</v>
      </c>
      <c r="AS629" t="s">
        <v>7566</v>
      </c>
      <c r="AT629" t="s">
        <v>7567</v>
      </c>
      <c r="AU629">
        <v>2008</v>
      </c>
      <c r="AV629">
        <v>260</v>
      </c>
      <c r="AW629" t="s">
        <v>5676</v>
      </c>
      <c r="AX629" t="s">
        <v>74</v>
      </c>
      <c r="AY629" t="s">
        <v>74</v>
      </c>
      <c r="AZ629" t="s">
        <v>74</v>
      </c>
      <c r="BA629" t="s">
        <v>74</v>
      </c>
      <c r="BB629">
        <v>202</v>
      </c>
      <c r="BC629">
        <v>229</v>
      </c>
      <c r="BD629" t="s">
        <v>74</v>
      </c>
      <c r="BE629" t="s">
        <v>7740</v>
      </c>
      <c r="BF629" t="str">
        <f>HYPERLINK("http://dx.doi.org/10.1016/j.palaeo.2007.08.023","http://dx.doi.org/10.1016/j.palaeo.2007.08.023")</f>
        <v>http://dx.doi.org/10.1016/j.palaeo.2007.08.023</v>
      </c>
      <c r="BG629" t="s">
        <v>74</v>
      </c>
      <c r="BH629" t="s">
        <v>74</v>
      </c>
      <c r="BI629">
        <v>28</v>
      </c>
      <c r="BJ629" t="s">
        <v>7569</v>
      </c>
      <c r="BK629" t="s">
        <v>113</v>
      </c>
      <c r="BL629" t="s">
        <v>7570</v>
      </c>
      <c r="BM629" t="s">
        <v>7571</v>
      </c>
      <c r="BN629" t="s">
        <v>74</v>
      </c>
      <c r="BO629" t="s">
        <v>74</v>
      </c>
      <c r="BP629" t="s">
        <v>74</v>
      </c>
      <c r="BQ629" t="s">
        <v>74</v>
      </c>
      <c r="BR629" t="s">
        <v>101</v>
      </c>
      <c r="BS629" t="s">
        <v>7741</v>
      </c>
      <c r="BT629" t="str">
        <f>HYPERLINK("https%3A%2F%2Fwww.webofscience.com%2Fwos%2Fwoscc%2Ffull-record%2FWOS:000255434800013","View Full Record in Web of Science")</f>
        <v>View Full Record in Web of Science</v>
      </c>
    </row>
    <row r="630" spans="1:72" x14ac:dyDescent="0.15">
      <c r="A630" t="s">
        <v>72</v>
      </c>
      <c r="B630" t="s">
        <v>7742</v>
      </c>
      <c r="C630" t="s">
        <v>74</v>
      </c>
      <c r="D630" t="s">
        <v>74</v>
      </c>
      <c r="E630" t="s">
        <v>74</v>
      </c>
      <c r="F630" t="s">
        <v>7743</v>
      </c>
      <c r="G630" t="s">
        <v>74</v>
      </c>
      <c r="H630" t="s">
        <v>74</v>
      </c>
      <c r="I630" t="s">
        <v>7744</v>
      </c>
      <c r="J630" t="s">
        <v>7555</v>
      </c>
      <c r="K630" t="s">
        <v>74</v>
      </c>
      <c r="L630" t="s">
        <v>74</v>
      </c>
      <c r="M630" t="s">
        <v>78</v>
      </c>
      <c r="N630" t="s">
        <v>3318</v>
      </c>
      <c r="O630" t="s">
        <v>7576</v>
      </c>
      <c r="P630" t="s">
        <v>7577</v>
      </c>
      <c r="Q630" t="s">
        <v>7578</v>
      </c>
      <c r="R630" t="s">
        <v>74</v>
      </c>
      <c r="S630" t="s">
        <v>74</v>
      </c>
      <c r="T630" t="s">
        <v>7745</v>
      </c>
      <c r="U630" t="s">
        <v>7746</v>
      </c>
      <c r="V630" t="s">
        <v>7747</v>
      </c>
      <c r="W630" t="s">
        <v>7748</v>
      </c>
      <c r="X630" t="s">
        <v>7749</v>
      </c>
      <c r="Y630" t="s">
        <v>7750</v>
      </c>
      <c r="Z630" t="s">
        <v>7751</v>
      </c>
      <c r="AA630" t="s">
        <v>7752</v>
      </c>
      <c r="AB630" t="s">
        <v>7562</v>
      </c>
      <c r="AC630" t="s">
        <v>74</v>
      </c>
      <c r="AD630" t="s">
        <v>74</v>
      </c>
      <c r="AE630" t="s">
        <v>74</v>
      </c>
      <c r="AF630" t="s">
        <v>74</v>
      </c>
      <c r="AG630">
        <v>64</v>
      </c>
      <c r="AH630">
        <v>26</v>
      </c>
      <c r="AI630">
        <v>28</v>
      </c>
      <c r="AJ630">
        <v>4</v>
      </c>
      <c r="AK630">
        <v>10</v>
      </c>
      <c r="AL630" t="s">
        <v>3257</v>
      </c>
      <c r="AM630" t="s">
        <v>3258</v>
      </c>
      <c r="AN630" t="s">
        <v>3259</v>
      </c>
      <c r="AO630" t="s">
        <v>7563</v>
      </c>
      <c r="AP630" t="s">
        <v>74</v>
      </c>
      <c r="AQ630" t="s">
        <v>74</v>
      </c>
      <c r="AR630" t="s">
        <v>7565</v>
      </c>
      <c r="AS630" t="s">
        <v>7566</v>
      </c>
      <c r="AT630" t="s">
        <v>7567</v>
      </c>
      <c r="AU630">
        <v>2008</v>
      </c>
      <c r="AV630">
        <v>260</v>
      </c>
      <c r="AW630" t="s">
        <v>5676</v>
      </c>
      <c r="AX630" t="s">
        <v>74</v>
      </c>
      <c r="AY630" t="s">
        <v>74</v>
      </c>
      <c r="AZ630" t="s">
        <v>74</v>
      </c>
      <c r="BA630" t="s">
        <v>74</v>
      </c>
      <c r="BB630">
        <v>230</v>
      </c>
      <c r="BC630">
        <v>244</v>
      </c>
      <c r="BD630" t="s">
        <v>74</v>
      </c>
      <c r="BE630" t="s">
        <v>7753</v>
      </c>
      <c r="BF630" t="str">
        <f>HYPERLINK("http://dx.doi.org/10.1016/j.palaeo.2007.08.017","http://dx.doi.org/10.1016/j.palaeo.2007.08.017")</f>
        <v>http://dx.doi.org/10.1016/j.palaeo.2007.08.017</v>
      </c>
      <c r="BG630" t="s">
        <v>74</v>
      </c>
      <c r="BH630" t="s">
        <v>74</v>
      </c>
      <c r="BI630">
        <v>15</v>
      </c>
      <c r="BJ630" t="s">
        <v>7569</v>
      </c>
      <c r="BK630" t="s">
        <v>113</v>
      </c>
      <c r="BL630" t="s">
        <v>7570</v>
      </c>
      <c r="BM630" t="s">
        <v>7571</v>
      </c>
      <c r="BN630" t="s">
        <v>74</v>
      </c>
      <c r="BO630" t="s">
        <v>3110</v>
      </c>
      <c r="BP630" t="s">
        <v>74</v>
      </c>
      <c r="BQ630" t="s">
        <v>74</v>
      </c>
      <c r="BR630" t="s">
        <v>101</v>
      </c>
      <c r="BS630" t="s">
        <v>7754</v>
      </c>
      <c r="BT630" t="str">
        <f>HYPERLINK("https%3A%2F%2Fwww.webofscience.com%2Fwos%2Fwoscc%2Ffull-record%2FWOS:000255434800014","View Full Record in Web of Science")</f>
        <v>View Full Record in Web of Science</v>
      </c>
    </row>
    <row r="631" spans="1:72" x14ac:dyDescent="0.15">
      <c r="A631" t="s">
        <v>72</v>
      </c>
      <c r="B631" t="s">
        <v>7755</v>
      </c>
      <c r="C631" t="s">
        <v>74</v>
      </c>
      <c r="D631" t="s">
        <v>74</v>
      </c>
      <c r="E631" t="s">
        <v>74</v>
      </c>
      <c r="F631" t="s">
        <v>7756</v>
      </c>
      <c r="G631" t="s">
        <v>74</v>
      </c>
      <c r="H631" t="s">
        <v>74</v>
      </c>
      <c r="I631" t="s">
        <v>7757</v>
      </c>
      <c r="J631" t="s">
        <v>7555</v>
      </c>
      <c r="K631" t="s">
        <v>74</v>
      </c>
      <c r="L631" t="s">
        <v>74</v>
      </c>
      <c r="M631" t="s">
        <v>78</v>
      </c>
      <c r="N631" t="s">
        <v>3318</v>
      </c>
      <c r="O631" t="s">
        <v>7576</v>
      </c>
      <c r="P631" t="s">
        <v>7577</v>
      </c>
      <c r="Q631" t="s">
        <v>7578</v>
      </c>
      <c r="R631" t="s">
        <v>74</v>
      </c>
      <c r="S631" t="s">
        <v>74</v>
      </c>
      <c r="T631" t="s">
        <v>7758</v>
      </c>
      <c r="U631" t="s">
        <v>7759</v>
      </c>
      <c r="V631" t="s">
        <v>7760</v>
      </c>
      <c r="W631" t="s">
        <v>7761</v>
      </c>
      <c r="X631" t="s">
        <v>7762</v>
      </c>
      <c r="Y631" t="s">
        <v>7709</v>
      </c>
      <c r="Z631" t="s">
        <v>7710</v>
      </c>
      <c r="AA631" t="s">
        <v>7763</v>
      </c>
      <c r="AB631" t="s">
        <v>7764</v>
      </c>
      <c r="AC631" t="s">
        <v>74</v>
      </c>
      <c r="AD631" t="s">
        <v>74</v>
      </c>
      <c r="AE631" t="s">
        <v>74</v>
      </c>
      <c r="AF631" t="s">
        <v>74</v>
      </c>
      <c r="AG631">
        <v>70</v>
      </c>
      <c r="AH631">
        <v>74</v>
      </c>
      <c r="AI631">
        <v>88</v>
      </c>
      <c r="AJ631">
        <v>0</v>
      </c>
      <c r="AK631">
        <v>17</v>
      </c>
      <c r="AL631" t="s">
        <v>3257</v>
      </c>
      <c r="AM631" t="s">
        <v>3258</v>
      </c>
      <c r="AN631" t="s">
        <v>3259</v>
      </c>
      <c r="AO631" t="s">
        <v>7563</v>
      </c>
      <c r="AP631" t="s">
        <v>74</v>
      </c>
      <c r="AQ631" t="s">
        <v>74</v>
      </c>
      <c r="AR631" t="s">
        <v>7565</v>
      </c>
      <c r="AS631" t="s">
        <v>7566</v>
      </c>
      <c r="AT631" t="s">
        <v>7567</v>
      </c>
      <c r="AU631">
        <v>2008</v>
      </c>
      <c r="AV631">
        <v>260</v>
      </c>
      <c r="AW631" t="s">
        <v>5676</v>
      </c>
      <c r="AX631" t="s">
        <v>74</v>
      </c>
      <c r="AY631" t="s">
        <v>74</v>
      </c>
      <c r="AZ631" t="s">
        <v>74</v>
      </c>
      <c r="BA631" t="s">
        <v>74</v>
      </c>
      <c r="BB631">
        <v>245</v>
      </c>
      <c r="BC631">
        <v>261</v>
      </c>
      <c r="BD631" t="s">
        <v>74</v>
      </c>
      <c r="BE631" t="s">
        <v>7765</v>
      </c>
      <c r="BF631" t="str">
        <f>HYPERLINK("http://dx.doi.org/10.1016/j.palaeo.2007.08.015","http://dx.doi.org/10.1016/j.palaeo.2007.08.015")</f>
        <v>http://dx.doi.org/10.1016/j.palaeo.2007.08.015</v>
      </c>
      <c r="BG631" t="s">
        <v>74</v>
      </c>
      <c r="BH631" t="s">
        <v>74</v>
      </c>
      <c r="BI631">
        <v>17</v>
      </c>
      <c r="BJ631" t="s">
        <v>7569</v>
      </c>
      <c r="BK631" t="s">
        <v>113</v>
      </c>
      <c r="BL631" t="s">
        <v>7570</v>
      </c>
      <c r="BM631" t="s">
        <v>7571</v>
      </c>
      <c r="BN631" t="s">
        <v>74</v>
      </c>
      <c r="BO631" t="s">
        <v>74</v>
      </c>
      <c r="BP631" t="s">
        <v>74</v>
      </c>
      <c r="BQ631" t="s">
        <v>74</v>
      </c>
      <c r="BR631" t="s">
        <v>101</v>
      </c>
      <c r="BS631" t="s">
        <v>7766</v>
      </c>
      <c r="BT631" t="str">
        <f>HYPERLINK("https%3A%2F%2Fwww.webofscience.com%2Fwos%2Fwoscc%2Ffull-record%2FWOS:000255434800015","View Full Record in Web of Science")</f>
        <v>View Full Record in Web of Science</v>
      </c>
    </row>
    <row r="632" spans="1:72" x14ac:dyDescent="0.15">
      <c r="A632" t="s">
        <v>72</v>
      </c>
      <c r="B632" t="s">
        <v>7767</v>
      </c>
      <c r="C632" t="s">
        <v>74</v>
      </c>
      <c r="D632" t="s">
        <v>74</v>
      </c>
      <c r="E632" t="s">
        <v>74</v>
      </c>
      <c r="F632" t="s">
        <v>7768</v>
      </c>
      <c r="G632" t="s">
        <v>74</v>
      </c>
      <c r="H632" t="s">
        <v>74</v>
      </c>
      <c r="I632" t="s">
        <v>7769</v>
      </c>
      <c r="J632" t="s">
        <v>7555</v>
      </c>
      <c r="K632" t="s">
        <v>74</v>
      </c>
      <c r="L632" t="s">
        <v>74</v>
      </c>
      <c r="M632" t="s">
        <v>78</v>
      </c>
      <c r="N632" t="s">
        <v>3318</v>
      </c>
      <c r="O632" t="s">
        <v>7576</v>
      </c>
      <c r="P632" t="s">
        <v>7577</v>
      </c>
      <c r="Q632" t="s">
        <v>7578</v>
      </c>
      <c r="R632" t="s">
        <v>74</v>
      </c>
      <c r="S632" t="s">
        <v>74</v>
      </c>
      <c r="T632" t="s">
        <v>7770</v>
      </c>
      <c r="U632" t="s">
        <v>7771</v>
      </c>
      <c r="V632" t="s">
        <v>7772</v>
      </c>
      <c r="W632" t="s">
        <v>7773</v>
      </c>
      <c r="X632" t="s">
        <v>7774</v>
      </c>
      <c r="Y632" t="s">
        <v>7775</v>
      </c>
      <c r="Z632" t="s">
        <v>7776</v>
      </c>
      <c r="AA632" t="s">
        <v>74</v>
      </c>
      <c r="AB632" t="s">
        <v>7777</v>
      </c>
      <c r="AC632" t="s">
        <v>74</v>
      </c>
      <c r="AD632" t="s">
        <v>74</v>
      </c>
      <c r="AE632" t="s">
        <v>74</v>
      </c>
      <c r="AF632" t="s">
        <v>74</v>
      </c>
      <c r="AG632">
        <v>62</v>
      </c>
      <c r="AH632">
        <v>18</v>
      </c>
      <c r="AI632">
        <v>25</v>
      </c>
      <c r="AJ632">
        <v>0</v>
      </c>
      <c r="AK632">
        <v>16</v>
      </c>
      <c r="AL632" t="s">
        <v>3257</v>
      </c>
      <c r="AM632" t="s">
        <v>3258</v>
      </c>
      <c r="AN632" t="s">
        <v>3259</v>
      </c>
      <c r="AO632" t="s">
        <v>7563</v>
      </c>
      <c r="AP632" t="s">
        <v>74</v>
      </c>
      <c r="AQ632" t="s">
        <v>74</v>
      </c>
      <c r="AR632" t="s">
        <v>7565</v>
      </c>
      <c r="AS632" t="s">
        <v>7566</v>
      </c>
      <c r="AT632" t="s">
        <v>7567</v>
      </c>
      <c r="AU632">
        <v>2008</v>
      </c>
      <c r="AV632">
        <v>260</v>
      </c>
      <c r="AW632" t="s">
        <v>5676</v>
      </c>
      <c r="AX632" t="s">
        <v>74</v>
      </c>
      <c r="AY632" t="s">
        <v>74</v>
      </c>
      <c r="AZ632" t="s">
        <v>74</v>
      </c>
      <c r="BA632" t="s">
        <v>74</v>
      </c>
      <c r="BB632">
        <v>262</v>
      </c>
      <c r="BC632">
        <v>283</v>
      </c>
      <c r="BD632" t="s">
        <v>74</v>
      </c>
      <c r="BE632" t="s">
        <v>7778</v>
      </c>
      <c r="BF632" t="str">
        <f>HYPERLINK("http://dx.doi.org/10.1016/j.palaeo.2007.08.010","http://dx.doi.org/10.1016/j.palaeo.2007.08.010")</f>
        <v>http://dx.doi.org/10.1016/j.palaeo.2007.08.010</v>
      </c>
      <c r="BG632" t="s">
        <v>74</v>
      </c>
      <c r="BH632" t="s">
        <v>74</v>
      </c>
      <c r="BI632">
        <v>22</v>
      </c>
      <c r="BJ632" t="s">
        <v>7569</v>
      </c>
      <c r="BK632" t="s">
        <v>113</v>
      </c>
      <c r="BL632" t="s">
        <v>7570</v>
      </c>
      <c r="BM632" t="s">
        <v>7571</v>
      </c>
      <c r="BN632" t="s">
        <v>74</v>
      </c>
      <c r="BO632" t="s">
        <v>74</v>
      </c>
      <c r="BP632" t="s">
        <v>74</v>
      </c>
      <c r="BQ632" t="s">
        <v>74</v>
      </c>
      <c r="BR632" t="s">
        <v>101</v>
      </c>
      <c r="BS632" t="s">
        <v>7779</v>
      </c>
      <c r="BT632" t="str">
        <f>HYPERLINK("https%3A%2F%2Fwww.webofscience.com%2Fwos%2Fwoscc%2Ffull-record%2FWOS:000255434800016","View Full Record in Web of Science")</f>
        <v>View Full Record in Web of Science</v>
      </c>
    </row>
    <row r="633" spans="1:72" x14ac:dyDescent="0.15">
      <c r="A633" t="s">
        <v>72</v>
      </c>
      <c r="B633" t="s">
        <v>7780</v>
      </c>
      <c r="C633" t="s">
        <v>74</v>
      </c>
      <c r="D633" t="s">
        <v>74</v>
      </c>
      <c r="E633" t="s">
        <v>74</v>
      </c>
      <c r="F633" t="s">
        <v>7781</v>
      </c>
      <c r="G633" t="s">
        <v>74</v>
      </c>
      <c r="H633" t="s">
        <v>74</v>
      </c>
      <c r="I633" t="s">
        <v>7782</v>
      </c>
      <c r="J633" t="s">
        <v>7555</v>
      </c>
      <c r="K633" t="s">
        <v>74</v>
      </c>
      <c r="L633" t="s">
        <v>74</v>
      </c>
      <c r="M633" t="s">
        <v>78</v>
      </c>
      <c r="N633" t="s">
        <v>3318</v>
      </c>
      <c r="O633" t="s">
        <v>7576</v>
      </c>
      <c r="P633" t="s">
        <v>7577</v>
      </c>
      <c r="Q633" t="s">
        <v>7578</v>
      </c>
      <c r="R633" t="s">
        <v>74</v>
      </c>
      <c r="S633" t="s">
        <v>74</v>
      </c>
      <c r="T633" t="s">
        <v>7783</v>
      </c>
      <c r="U633" t="s">
        <v>7784</v>
      </c>
      <c r="V633" t="s">
        <v>7785</v>
      </c>
      <c r="W633" t="s">
        <v>7786</v>
      </c>
      <c r="X633" t="s">
        <v>7787</v>
      </c>
      <c r="Y633" t="s">
        <v>7788</v>
      </c>
      <c r="Z633" t="s">
        <v>7789</v>
      </c>
      <c r="AA633" t="s">
        <v>74</v>
      </c>
      <c r="AB633" t="s">
        <v>74</v>
      </c>
      <c r="AC633" t="s">
        <v>74</v>
      </c>
      <c r="AD633" t="s">
        <v>74</v>
      </c>
      <c r="AE633" t="s">
        <v>74</v>
      </c>
      <c r="AF633" t="s">
        <v>74</v>
      </c>
      <c r="AG633">
        <v>93</v>
      </c>
      <c r="AH633">
        <v>63</v>
      </c>
      <c r="AI633">
        <v>67</v>
      </c>
      <c r="AJ633">
        <v>0</v>
      </c>
      <c r="AK633">
        <v>20</v>
      </c>
      <c r="AL633" t="s">
        <v>3933</v>
      </c>
      <c r="AM633" t="s">
        <v>3258</v>
      </c>
      <c r="AN633" t="s">
        <v>3934</v>
      </c>
      <c r="AO633" t="s">
        <v>7563</v>
      </c>
      <c r="AP633" t="s">
        <v>7564</v>
      </c>
      <c r="AQ633" t="s">
        <v>74</v>
      </c>
      <c r="AR633" t="s">
        <v>7565</v>
      </c>
      <c r="AS633" t="s">
        <v>7566</v>
      </c>
      <c r="AT633" t="s">
        <v>7567</v>
      </c>
      <c r="AU633">
        <v>2008</v>
      </c>
      <c r="AV633">
        <v>260</v>
      </c>
      <c r="AW633" t="s">
        <v>5676</v>
      </c>
      <c r="AX633" t="s">
        <v>74</v>
      </c>
      <c r="AY633" t="s">
        <v>74</v>
      </c>
      <c r="AZ633" t="s">
        <v>74</v>
      </c>
      <c r="BA633" t="s">
        <v>74</v>
      </c>
      <c r="BB633">
        <v>284</v>
      </c>
      <c r="BC633">
        <v>298</v>
      </c>
      <c r="BD633" t="s">
        <v>74</v>
      </c>
      <c r="BE633" t="s">
        <v>7790</v>
      </c>
      <c r="BF633" t="str">
        <f>HYPERLINK("http://dx.doi.org/10.1016/j.palaeo.2007.08.013","http://dx.doi.org/10.1016/j.palaeo.2007.08.013")</f>
        <v>http://dx.doi.org/10.1016/j.palaeo.2007.08.013</v>
      </c>
      <c r="BG633" t="s">
        <v>74</v>
      </c>
      <c r="BH633" t="s">
        <v>74</v>
      </c>
      <c r="BI633">
        <v>15</v>
      </c>
      <c r="BJ633" t="s">
        <v>7569</v>
      </c>
      <c r="BK633" t="s">
        <v>99</v>
      </c>
      <c r="BL633" t="s">
        <v>7570</v>
      </c>
      <c r="BM633" t="s">
        <v>7571</v>
      </c>
      <c r="BN633" t="s">
        <v>74</v>
      </c>
      <c r="BO633" t="s">
        <v>74</v>
      </c>
      <c r="BP633" t="s">
        <v>74</v>
      </c>
      <c r="BQ633" t="s">
        <v>74</v>
      </c>
      <c r="BR633" t="s">
        <v>101</v>
      </c>
      <c r="BS633" t="s">
        <v>7791</v>
      </c>
      <c r="BT633" t="str">
        <f>HYPERLINK("https%3A%2F%2Fwww.webofscience.com%2Fwos%2Fwoscc%2Ffull-record%2FWOS:000255434800017","View Full Record in Web of Science")</f>
        <v>View Full Record in Web of Science</v>
      </c>
    </row>
    <row r="634" spans="1:72" x14ac:dyDescent="0.15">
      <c r="A634" t="s">
        <v>72</v>
      </c>
      <c r="B634" t="s">
        <v>7792</v>
      </c>
      <c r="C634" t="s">
        <v>74</v>
      </c>
      <c r="D634" t="s">
        <v>74</v>
      </c>
      <c r="E634" t="s">
        <v>74</v>
      </c>
      <c r="F634" t="s">
        <v>7793</v>
      </c>
      <c r="G634" t="s">
        <v>74</v>
      </c>
      <c r="H634" t="s">
        <v>74</v>
      </c>
      <c r="I634" t="s">
        <v>7794</v>
      </c>
      <c r="J634" t="s">
        <v>7795</v>
      </c>
      <c r="K634" t="s">
        <v>74</v>
      </c>
      <c r="L634" t="s">
        <v>74</v>
      </c>
      <c r="M634" t="s">
        <v>78</v>
      </c>
      <c r="N634" t="s">
        <v>52</v>
      </c>
      <c r="O634" t="s">
        <v>7796</v>
      </c>
      <c r="P634" t="s">
        <v>7797</v>
      </c>
      <c r="Q634" t="s">
        <v>7798</v>
      </c>
      <c r="R634" t="s">
        <v>74</v>
      </c>
      <c r="S634" t="s">
        <v>74</v>
      </c>
      <c r="T634" t="s">
        <v>74</v>
      </c>
      <c r="U634" t="s">
        <v>74</v>
      </c>
      <c r="V634" t="s">
        <v>74</v>
      </c>
      <c r="W634" t="s">
        <v>7799</v>
      </c>
      <c r="X634" t="s">
        <v>7800</v>
      </c>
      <c r="Y634" t="s">
        <v>74</v>
      </c>
      <c r="Z634" t="s">
        <v>7801</v>
      </c>
      <c r="AA634" t="s">
        <v>74</v>
      </c>
      <c r="AB634" t="s">
        <v>74</v>
      </c>
      <c r="AC634" t="s">
        <v>74</v>
      </c>
      <c r="AD634" t="s">
        <v>74</v>
      </c>
      <c r="AE634" t="s">
        <v>74</v>
      </c>
      <c r="AF634" t="s">
        <v>74</v>
      </c>
      <c r="AG634">
        <v>0</v>
      </c>
      <c r="AH634">
        <v>0</v>
      </c>
      <c r="AI634">
        <v>0</v>
      </c>
      <c r="AJ634">
        <v>0</v>
      </c>
      <c r="AK634">
        <v>1</v>
      </c>
      <c r="AL634" t="s">
        <v>4064</v>
      </c>
      <c r="AM634" t="s">
        <v>3281</v>
      </c>
      <c r="AN634" t="s">
        <v>4065</v>
      </c>
      <c r="AO634" t="s">
        <v>7802</v>
      </c>
      <c r="AP634" t="s">
        <v>74</v>
      </c>
      <c r="AQ634" t="s">
        <v>74</v>
      </c>
      <c r="AR634" t="s">
        <v>7803</v>
      </c>
      <c r="AS634" t="s">
        <v>7804</v>
      </c>
      <c r="AT634" t="s">
        <v>7805</v>
      </c>
      <c r="AU634">
        <v>2008</v>
      </c>
      <c r="AV634">
        <v>235</v>
      </c>
      <c r="AW634" t="s">
        <v>74</v>
      </c>
      <c r="AX634" t="s">
        <v>74</v>
      </c>
      <c r="AY634" t="s">
        <v>74</v>
      </c>
      <c r="AZ634" t="s">
        <v>74</v>
      </c>
      <c r="BA634" t="s">
        <v>7806</v>
      </c>
      <c r="BB634" t="s">
        <v>74</v>
      </c>
      <c r="BC634" t="s">
        <v>74</v>
      </c>
      <c r="BD634" t="s">
        <v>74</v>
      </c>
      <c r="BE634" t="s">
        <v>74</v>
      </c>
      <c r="BF634" t="s">
        <v>74</v>
      </c>
      <c r="BG634" t="s">
        <v>74</v>
      </c>
      <c r="BH634" t="s">
        <v>74</v>
      </c>
      <c r="BI634">
        <v>1</v>
      </c>
      <c r="BJ634" t="s">
        <v>3833</v>
      </c>
      <c r="BK634" t="s">
        <v>99</v>
      </c>
      <c r="BL634" t="s">
        <v>3834</v>
      </c>
      <c r="BM634" t="s">
        <v>7807</v>
      </c>
      <c r="BN634" t="s">
        <v>74</v>
      </c>
      <c r="BO634" t="s">
        <v>74</v>
      </c>
      <c r="BP634" t="s">
        <v>74</v>
      </c>
      <c r="BQ634" t="s">
        <v>74</v>
      </c>
      <c r="BR634" t="s">
        <v>101</v>
      </c>
      <c r="BS634" t="s">
        <v>7808</v>
      </c>
      <c r="BT634" t="str">
        <f>HYPERLINK("https%3A%2F%2Fwww.webofscience.com%2Fwos%2Fwoscc%2Ffull-record%2FWOS:000271775103052","View Full Record in Web of Science")</f>
        <v>View Full Record in Web of Science</v>
      </c>
    </row>
    <row r="635" spans="1:72" x14ac:dyDescent="0.15">
      <c r="A635" t="s">
        <v>72</v>
      </c>
      <c r="B635" t="s">
        <v>7809</v>
      </c>
      <c r="C635" t="s">
        <v>74</v>
      </c>
      <c r="D635" t="s">
        <v>74</v>
      </c>
      <c r="E635" t="s">
        <v>74</v>
      </c>
      <c r="F635" t="s">
        <v>7810</v>
      </c>
      <c r="G635" t="s">
        <v>74</v>
      </c>
      <c r="H635" t="s">
        <v>74</v>
      </c>
      <c r="I635" t="s">
        <v>7811</v>
      </c>
      <c r="J635" t="s">
        <v>3270</v>
      </c>
      <c r="K635" t="s">
        <v>74</v>
      </c>
      <c r="L635" t="s">
        <v>74</v>
      </c>
      <c r="M635" t="s">
        <v>78</v>
      </c>
      <c r="N635" t="s">
        <v>2737</v>
      </c>
      <c r="O635" t="s">
        <v>74</v>
      </c>
      <c r="P635" t="s">
        <v>74</v>
      </c>
      <c r="Q635" t="s">
        <v>74</v>
      </c>
      <c r="R635" t="s">
        <v>74</v>
      </c>
      <c r="S635" t="s">
        <v>74</v>
      </c>
      <c r="T635" t="s">
        <v>7812</v>
      </c>
      <c r="U635" t="s">
        <v>7813</v>
      </c>
      <c r="V635" t="s">
        <v>7814</v>
      </c>
      <c r="W635" t="s">
        <v>7815</v>
      </c>
      <c r="X635" t="s">
        <v>7816</v>
      </c>
      <c r="Y635" t="s">
        <v>7817</v>
      </c>
      <c r="Z635" t="s">
        <v>7818</v>
      </c>
      <c r="AA635" t="s">
        <v>7819</v>
      </c>
      <c r="AB635" t="s">
        <v>7820</v>
      </c>
      <c r="AC635" t="s">
        <v>4242</v>
      </c>
      <c r="AD635" t="s">
        <v>3031</v>
      </c>
      <c r="AE635" t="s">
        <v>74</v>
      </c>
      <c r="AF635" t="s">
        <v>74</v>
      </c>
      <c r="AG635">
        <v>37</v>
      </c>
      <c r="AH635">
        <v>15</v>
      </c>
      <c r="AI635">
        <v>16</v>
      </c>
      <c r="AJ635">
        <v>0</v>
      </c>
      <c r="AK635">
        <v>10</v>
      </c>
      <c r="AL635" t="s">
        <v>3280</v>
      </c>
      <c r="AM635" t="s">
        <v>3281</v>
      </c>
      <c r="AN635" t="s">
        <v>3282</v>
      </c>
      <c r="AO635" t="s">
        <v>3283</v>
      </c>
      <c r="AP635" t="s">
        <v>74</v>
      </c>
      <c r="AQ635" t="s">
        <v>74</v>
      </c>
      <c r="AR635" t="s">
        <v>3284</v>
      </c>
      <c r="AS635" t="s">
        <v>3285</v>
      </c>
      <c r="AT635" t="s">
        <v>7821</v>
      </c>
      <c r="AU635">
        <v>2008</v>
      </c>
      <c r="AV635">
        <v>9</v>
      </c>
      <c r="AW635" t="s">
        <v>74</v>
      </c>
      <c r="AX635" t="s">
        <v>74</v>
      </c>
      <c r="AY635" t="s">
        <v>74</v>
      </c>
      <c r="AZ635" t="s">
        <v>74</v>
      </c>
      <c r="BA635" t="s">
        <v>74</v>
      </c>
      <c r="BB635" t="s">
        <v>74</v>
      </c>
      <c r="BC635" t="s">
        <v>74</v>
      </c>
      <c r="BD635" t="s">
        <v>7822</v>
      </c>
      <c r="BE635" t="s">
        <v>7823</v>
      </c>
      <c r="BF635" t="str">
        <f>HYPERLINK("http://dx.doi.org/10.1029/2007GC001878","http://dx.doi.org/10.1029/2007GC001878")</f>
        <v>http://dx.doi.org/10.1029/2007GC001878</v>
      </c>
      <c r="BG635" t="s">
        <v>74</v>
      </c>
      <c r="BH635" t="s">
        <v>74</v>
      </c>
      <c r="BI635">
        <v>10</v>
      </c>
      <c r="BJ635" t="s">
        <v>98</v>
      </c>
      <c r="BK635" t="s">
        <v>419</v>
      </c>
      <c r="BL635" t="s">
        <v>98</v>
      </c>
      <c r="BM635" t="s">
        <v>7824</v>
      </c>
      <c r="BN635" t="s">
        <v>74</v>
      </c>
      <c r="BO635" t="s">
        <v>3290</v>
      </c>
      <c r="BP635" t="s">
        <v>74</v>
      </c>
      <c r="BQ635" t="s">
        <v>74</v>
      </c>
      <c r="BR635" t="s">
        <v>101</v>
      </c>
      <c r="BS635" t="s">
        <v>7825</v>
      </c>
      <c r="BT635" t="str">
        <f>HYPERLINK("https%3A%2F%2Fwww.webofscience.com%2Fwos%2Fwoscc%2Ffull-record%2FWOS:000254716300001","View Full Record in Web of Science")</f>
        <v>View Full Record in Web of Science</v>
      </c>
    </row>
    <row r="636" spans="1:72" x14ac:dyDescent="0.15">
      <c r="A636" t="s">
        <v>72</v>
      </c>
      <c r="B636" t="s">
        <v>5692</v>
      </c>
      <c r="C636" t="s">
        <v>74</v>
      </c>
      <c r="D636" t="s">
        <v>74</v>
      </c>
      <c r="E636" t="s">
        <v>74</v>
      </c>
      <c r="F636" t="s">
        <v>5693</v>
      </c>
      <c r="G636" t="s">
        <v>74</v>
      </c>
      <c r="H636" t="s">
        <v>74</v>
      </c>
      <c r="I636" t="s">
        <v>7826</v>
      </c>
      <c r="J636" t="s">
        <v>3295</v>
      </c>
      <c r="K636" t="s">
        <v>74</v>
      </c>
      <c r="L636" t="s">
        <v>74</v>
      </c>
      <c r="M636" t="s">
        <v>78</v>
      </c>
      <c r="N636" t="s">
        <v>2737</v>
      </c>
      <c r="O636" t="s">
        <v>74</v>
      </c>
      <c r="P636" t="s">
        <v>74</v>
      </c>
      <c r="Q636" t="s">
        <v>74</v>
      </c>
      <c r="R636" t="s">
        <v>74</v>
      </c>
      <c r="S636" t="s">
        <v>74</v>
      </c>
      <c r="T636" t="s">
        <v>74</v>
      </c>
      <c r="U636" t="s">
        <v>7827</v>
      </c>
      <c r="V636" t="s">
        <v>7828</v>
      </c>
      <c r="W636" t="s">
        <v>7829</v>
      </c>
      <c r="X636" t="s">
        <v>7830</v>
      </c>
      <c r="Y636" t="s">
        <v>7831</v>
      </c>
      <c r="Z636" t="s">
        <v>7832</v>
      </c>
      <c r="AA636" t="s">
        <v>7833</v>
      </c>
      <c r="AB636" t="s">
        <v>7834</v>
      </c>
      <c r="AC636" t="s">
        <v>74</v>
      </c>
      <c r="AD636" t="s">
        <v>74</v>
      </c>
      <c r="AE636" t="s">
        <v>74</v>
      </c>
      <c r="AF636" t="s">
        <v>74</v>
      </c>
      <c r="AG636">
        <v>21</v>
      </c>
      <c r="AH636">
        <v>39</v>
      </c>
      <c r="AI636">
        <v>40</v>
      </c>
      <c r="AJ636">
        <v>1</v>
      </c>
      <c r="AK636">
        <v>19</v>
      </c>
      <c r="AL636" t="s">
        <v>3280</v>
      </c>
      <c r="AM636" t="s">
        <v>3281</v>
      </c>
      <c r="AN636" t="s">
        <v>3282</v>
      </c>
      <c r="AO636" t="s">
        <v>3304</v>
      </c>
      <c r="AP636" t="s">
        <v>3305</v>
      </c>
      <c r="AQ636" t="s">
        <v>74</v>
      </c>
      <c r="AR636" t="s">
        <v>3306</v>
      </c>
      <c r="AS636" t="s">
        <v>3307</v>
      </c>
      <c r="AT636" t="s">
        <v>7821</v>
      </c>
      <c r="AU636">
        <v>2008</v>
      </c>
      <c r="AV636">
        <v>35</v>
      </c>
      <c r="AW636">
        <v>7</v>
      </c>
      <c r="AX636" t="s">
        <v>74</v>
      </c>
      <c r="AY636" t="s">
        <v>74</v>
      </c>
      <c r="AZ636" t="s">
        <v>74</v>
      </c>
      <c r="BA636" t="s">
        <v>74</v>
      </c>
      <c r="BB636" t="s">
        <v>74</v>
      </c>
      <c r="BC636" t="s">
        <v>74</v>
      </c>
      <c r="BD636" t="s">
        <v>7835</v>
      </c>
      <c r="BE636" t="s">
        <v>7836</v>
      </c>
      <c r="BF636" t="str">
        <f>HYPERLINK("http://dx.doi.org/10.1029/2007GL032630","http://dx.doi.org/10.1029/2007GL032630")</f>
        <v>http://dx.doi.org/10.1029/2007GL032630</v>
      </c>
      <c r="BG636" t="s">
        <v>74</v>
      </c>
      <c r="BH636" t="s">
        <v>74</v>
      </c>
      <c r="BI636">
        <v>6</v>
      </c>
      <c r="BJ636" t="s">
        <v>3093</v>
      </c>
      <c r="BK636" t="s">
        <v>419</v>
      </c>
      <c r="BL636" t="s">
        <v>3094</v>
      </c>
      <c r="BM636" t="s">
        <v>7837</v>
      </c>
      <c r="BN636" t="s">
        <v>74</v>
      </c>
      <c r="BO636" t="s">
        <v>74</v>
      </c>
      <c r="BP636" t="s">
        <v>74</v>
      </c>
      <c r="BQ636" t="s">
        <v>74</v>
      </c>
      <c r="BR636" t="s">
        <v>101</v>
      </c>
      <c r="BS636" t="s">
        <v>7838</v>
      </c>
      <c r="BT636" t="str">
        <f>HYPERLINK("https%3A%2F%2Fwww.webofscience.com%2Fwos%2Fwoscc%2Ffull-record%2FWOS:000254716800002","View Full Record in Web of Science")</f>
        <v>View Full Record in Web of Science</v>
      </c>
    </row>
    <row r="637" spans="1:72" x14ac:dyDescent="0.15">
      <c r="A637" t="s">
        <v>72</v>
      </c>
      <c r="B637" t="s">
        <v>7839</v>
      </c>
      <c r="C637" t="s">
        <v>74</v>
      </c>
      <c r="D637" t="s">
        <v>74</v>
      </c>
      <c r="E637" t="s">
        <v>74</v>
      </c>
      <c r="F637" t="s">
        <v>7840</v>
      </c>
      <c r="G637" t="s">
        <v>74</v>
      </c>
      <c r="H637" t="s">
        <v>74</v>
      </c>
      <c r="I637" t="s">
        <v>7841</v>
      </c>
      <c r="J637" t="s">
        <v>3295</v>
      </c>
      <c r="K637" t="s">
        <v>74</v>
      </c>
      <c r="L637" t="s">
        <v>74</v>
      </c>
      <c r="M637" t="s">
        <v>78</v>
      </c>
      <c r="N637" t="s">
        <v>2737</v>
      </c>
      <c r="O637" t="s">
        <v>74</v>
      </c>
      <c r="P637" t="s">
        <v>74</v>
      </c>
      <c r="Q637" t="s">
        <v>74</v>
      </c>
      <c r="R637" t="s">
        <v>74</v>
      </c>
      <c r="S637" t="s">
        <v>74</v>
      </c>
      <c r="T637" t="s">
        <v>74</v>
      </c>
      <c r="U637" t="s">
        <v>7842</v>
      </c>
      <c r="V637" t="s">
        <v>7843</v>
      </c>
      <c r="W637" t="s">
        <v>7844</v>
      </c>
      <c r="X637" t="s">
        <v>456</v>
      </c>
      <c r="Y637" t="s">
        <v>7845</v>
      </c>
      <c r="Z637" t="s">
        <v>7846</v>
      </c>
      <c r="AA637" t="s">
        <v>3901</v>
      </c>
      <c r="AB637" t="s">
        <v>74</v>
      </c>
      <c r="AC637" t="s">
        <v>7847</v>
      </c>
      <c r="AD637" t="s">
        <v>7848</v>
      </c>
      <c r="AE637" t="s">
        <v>74</v>
      </c>
      <c r="AF637" t="s">
        <v>74</v>
      </c>
      <c r="AG637">
        <v>29</v>
      </c>
      <c r="AH637">
        <v>254</v>
      </c>
      <c r="AI637">
        <v>272</v>
      </c>
      <c r="AJ637">
        <v>0</v>
      </c>
      <c r="AK637">
        <v>56</v>
      </c>
      <c r="AL637" t="s">
        <v>3280</v>
      </c>
      <c r="AM637" t="s">
        <v>3281</v>
      </c>
      <c r="AN637" t="s">
        <v>3282</v>
      </c>
      <c r="AO637" t="s">
        <v>3304</v>
      </c>
      <c r="AP637" t="s">
        <v>3305</v>
      </c>
      <c r="AQ637" t="s">
        <v>74</v>
      </c>
      <c r="AR637" t="s">
        <v>3306</v>
      </c>
      <c r="AS637" t="s">
        <v>3307</v>
      </c>
      <c r="AT637" t="s">
        <v>7821</v>
      </c>
      <c r="AU637">
        <v>2008</v>
      </c>
      <c r="AV637">
        <v>35</v>
      </c>
      <c r="AW637">
        <v>7</v>
      </c>
      <c r="AX637" t="s">
        <v>74</v>
      </c>
      <c r="AY637" t="s">
        <v>74</v>
      </c>
      <c r="AZ637" t="s">
        <v>74</v>
      </c>
      <c r="BA637" t="s">
        <v>74</v>
      </c>
      <c r="BB637" t="s">
        <v>74</v>
      </c>
      <c r="BC637" t="s">
        <v>74</v>
      </c>
      <c r="BD637" t="s">
        <v>7849</v>
      </c>
      <c r="BE637" t="s">
        <v>7850</v>
      </c>
      <c r="BF637" t="str">
        <f>HYPERLINK("http://dx.doi.org/10.1029/2007GL032903","http://dx.doi.org/10.1029/2007GL032903")</f>
        <v>http://dx.doi.org/10.1029/2007GL032903</v>
      </c>
      <c r="BG637" t="s">
        <v>74</v>
      </c>
      <c r="BH637" t="s">
        <v>74</v>
      </c>
      <c r="BI637">
        <v>5</v>
      </c>
      <c r="BJ637" t="s">
        <v>3093</v>
      </c>
      <c r="BK637" t="s">
        <v>419</v>
      </c>
      <c r="BL637" t="s">
        <v>3094</v>
      </c>
      <c r="BM637" t="s">
        <v>7837</v>
      </c>
      <c r="BN637" t="s">
        <v>74</v>
      </c>
      <c r="BO637" t="s">
        <v>3290</v>
      </c>
      <c r="BP637" t="s">
        <v>74</v>
      </c>
      <c r="BQ637" t="s">
        <v>74</v>
      </c>
      <c r="BR637" t="s">
        <v>101</v>
      </c>
      <c r="BS637" t="s">
        <v>7851</v>
      </c>
      <c r="BT637" t="str">
        <f>HYPERLINK("https%3A%2F%2Fwww.webofscience.com%2Fwos%2Fwoscc%2Ffull-record%2FWOS:000254716800004","View Full Record in Web of Science")</f>
        <v>View Full Record in Web of Science</v>
      </c>
    </row>
    <row r="638" spans="1:72" x14ac:dyDescent="0.15">
      <c r="A638" t="s">
        <v>72</v>
      </c>
      <c r="B638" t="s">
        <v>7852</v>
      </c>
      <c r="C638" t="s">
        <v>74</v>
      </c>
      <c r="D638" t="s">
        <v>74</v>
      </c>
      <c r="E638" t="s">
        <v>74</v>
      </c>
      <c r="F638" t="s">
        <v>7853</v>
      </c>
      <c r="G638" t="s">
        <v>74</v>
      </c>
      <c r="H638" t="s">
        <v>74</v>
      </c>
      <c r="I638" t="s">
        <v>7854</v>
      </c>
      <c r="J638" t="s">
        <v>7855</v>
      </c>
      <c r="K638" t="s">
        <v>74</v>
      </c>
      <c r="L638" t="s">
        <v>74</v>
      </c>
      <c r="M638" t="s">
        <v>78</v>
      </c>
      <c r="N638" t="s">
        <v>2737</v>
      </c>
      <c r="O638" t="s">
        <v>74</v>
      </c>
      <c r="P638" t="s">
        <v>74</v>
      </c>
      <c r="Q638" t="s">
        <v>74</v>
      </c>
      <c r="R638" t="s">
        <v>74</v>
      </c>
      <c r="S638" t="s">
        <v>74</v>
      </c>
      <c r="T638" t="s">
        <v>7856</v>
      </c>
      <c r="U638" t="s">
        <v>7857</v>
      </c>
      <c r="V638" t="s">
        <v>7858</v>
      </c>
      <c r="W638" t="s">
        <v>7859</v>
      </c>
      <c r="X638" t="s">
        <v>7860</v>
      </c>
      <c r="Y638" t="s">
        <v>7861</v>
      </c>
      <c r="Z638" t="s">
        <v>7862</v>
      </c>
      <c r="AA638" t="s">
        <v>7863</v>
      </c>
      <c r="AB638" t="s">
        <v>7864</v>
      </c>
      <c r="AC638" t="s">
        <v>74</v>
      </c>
      <c r="AD638" t="s">
        <v>74</v>
      </c>
      <c r="AE638" t="s">
        <v>74</v>
      </c>
      <c r="AF638" t="s">
        <v>74</v>
      </c>
      <c r="AG638">
        <v>50</v>
      </c>
      <c r="AH638">
        <v>17</v>
      </c>
      <c r="AI638">
        <v>18</v>
      </c>
      <c r="AJ638">
        <v>0</v>
      </c>
      <c r="AK638">
        <v>1</v>
      </c>
      <c r="AL638" t="s">
        <v>3933</v>
      </c>
      <c r="AM638" t="s">
        <v>3258</v>
      </c>
      <c r="AN638" t="s">
        <v>3934</v>
      </c>
      <c r="AO638" t="s">
        <v>7865</v>
      </c>
      <c r="AP638" t="s">
        <v>7866</v>
      </c>
      <c r="AQ638" t="s">
        <v>74</v>
      </c>
      <c r="AR638" t="s">
        <v>7867</v>
      </c>
      <c r="AS638" t="s">
        <v>7868</v>
      </c>
      <c r="AT638" t="s">
        <v>7821</v>
      </c>
      <c r="AU638">
        <v>2008</v>
      </c>
      <c r="AV638">
        <v>162</v>
      </c>
      <c r="AW638" t="s">
        <v>5676</v>
      </c>
      <c r="AX638" t="s">
        <v>74</v>
      </c>
      <c r="AY638" t="s">
        <v>74</v>
      </c>
      <c r="AZ638" t="s">
        <v>74</v>
      </c>
      <c r="BA638" t="s">
        <v>74</v>
      </c>
      <c r="BB638">
        <v>40</v>
      </c>
      <c r="BC638">
        <v>58</v>
      </c>
      <c r="BD638" t="s">
        <v>74</v>
      </c>
      <c r="BE638" t="s">
        <v>7869</v>
      </c>
      <c r="BF638" t="str">
        <f>HYPERLINK("http://dx.doi.org/10.1016/j.precamres.2007.07.017","http://dx.doi.org/10.1016/j.precamres.2007.07.017")</f>
        <v>http://dx.doi.org/10.1016/j.precamres.2007.07.017</v>
      </c>
      <c r="BG638" t="s">
        <v>74</v>
      </c>
      <c r="BH638" t="s">
        <v>74</v>
      </c>
      <c r="BI638">
        <v>19</v>
      </c>
      <c r="BJ638" t="s">
        <v>3093</v>
      </c>
      <c r="BK638" t="s">
        <v>419</v>
      </c>
      <c r="BL638" t="s">
        <v>3094</v>
      </c>
      <c r="BM638" t="s">
        <v>7870</v>
      </c>
      <c r="BN638" t="s">
        <v>74</v>
      </c>
      <c r="BO638" t="s">
        <v>74</v>
      </c>
      <c r="BP638" t="s">
        <v>74</v>
      </c>
      <c r="BQ638" t="s">
        <v>74</v>
      </c>
      <c r="BR638" t="s">
        <v>101</v>
      </c>
      <c r="BS638" t="s">
        <v>7871</v>
      </c>
      <c r="BT638" t="str">
        <f>HYPERLINK("https%3A%2F%2Fwww.webofscience.com%2Fwos%2Fwoscc%2Ffull-record%2FWOS:000254671000004","View Full Record in Web of Science")</f>
        <v>View Full Record in Web of Science</v>
      </c>
    </row>
    <row r="639" spans="1:72" x14ac:dyDescent="0.15">
      <c r="A639" t="s">
        <v>72</v>
      </c>
      <c r="B639" t="s">
        <v>7872</v>
      </c>
      <c r="C639" t="s">
        <v>74</v>
      </c>
      <c r="D639" t="s">
        <v>74</v>
      </c>
      <c r="E639" t="s">
        <v>74</v>
      </c>
      <c r="F639" t="s">
        <v>7873</v>
      </c>
      <c r="G639" t="s">
        <v>74</v>
      </c>
      <c r="H639" t="s">
        <v>74</v>
      </c>
      <c r="I639" t="s">
        <v>7874</v>
      </c>
      <c r="J639" t="s">
        <v>3295</v>
      </c>
      <c r="K639" t="s">
        <v>74</v>
      </c>
      <c r="L639" t="s">
        <v>74</v>
      </c>
      <c r="M639" t="s">
        <v>78</v>
      </c>
      <c r="N639" t="s">
        <v>2737</v>
      </c>
      <c r="O639" t="s">
        <v>74</v>
      </c>
      <c r="P639" t="s">
        <v>74</v>
      </c>
      <c r="Q639" t="s">
        <v>74</v>
      </c>
      <c r="R639" t="s">
        <v>74</v>
      </c>
      <c r="S639" t="s">
        <v>74</v>
      </c>
      <c r="T639" t="s">
        <v>74</v>
      </c>
      <c r="U639" t="s">
        <v>7875</v>
      </c>
      <c r="V639" t="s">
        <v>7876</v>
      </c>
      <c r="W639" t="s">
        <v>7877</v>
      </c>
      <c r="X639" t="s">
        <v>7878</v>
      </c>
      <c r="Y639" t="s">
        <v>7879</v>
      </c>
      <c r="Z639" t="s">
        <v>7880</v>
      </c>
      <c r="AA639" t="s">
        <v>7881</v>
      </c>
      <c r="AB639" t="s">
        <v>7882</v>
      </c>
      <c r="AC639" t="s">
        <v>7883</v>
      </c>
      <c r="AD639" t="s">
        <v>2792</v>
      </c>
      <c r="AE639" t="s">
        <v>74</v>
      </c>
      <c r="AF639" t="s">
        <v>74</v>
      </c>
      <c r="AG639">
        <v>28</v>
      </c>
      <c r="AH639">
        <v>55</v>
      </c>
      <c r="AI639">
        <v>60</v>
      </c>
      <c r="AJ639">
        <v>0</v>
      </c>
      <c r="AK639">
        <v>4</v>
      </c>
      <c r="AL639" t="s">
        <v>3280</v>
      </c>
      <c r="AM639" t="s">
        <v>3281</v>
      </c>
      <c r="AN639" t="s">
        <v>3282</v>
      </c>
      <c r="AO639" t="s">
        <v>3304</v>
      </c>
      <c r="AP639" t="s">
        <v>3305</v>
      </c>
      <c r="AQ639" t="s">
        <v>74</v>
      </c>
      <c r="AR639" t="s">
        <v>3306</v>
      </c>
      <c r="AS639" t="s">
        <v>3307</v>
      </c>
      <c r="AT639" t="s">
        <v>7884</v>
      </c>
      <c r="AU639">
        <v>2008</v>
      </c>
      <c r="AV639">
        <v>35</v>
      </c>
      <c r="AW639">
        <v>7</v>
      </c>
      <c r="AX639" t="s">
        <v>74</v>
      </c>
      <c r="AY639" t="s">
        <v>74</v>
      </c>
      <c r="AZ639" t="s">
        <v>74</v>
      </c>
      <c r="BA639" t="s">
        <v>74</v>
      </c>
      <c r="BB639" t="s">
        <v>74</v>
      </c>
      <c r="BC639" t="s">
        <v>74</v>
      </c>
      <c r="BD639" t="s">
        <v>7885</v>
      </c>
      <c r="BE639" t="s">
        <v>7886</v>
      </c>
      <c r="BF639" t="str">
        <f>HYPERLINK("http://dx.doi.org/10.1029/2007GL032698","http://dx.doi.org/10.1029/2007GL032698")</f>
        <v>http://dx.doi.org/10.1029/2007GL032698</v>
      </c>
      <c r="BG639" t="s">
        <v>74</v>
      </c>
      <c r="BH639" t="s">
        <v>74</v>
      </c>
      <c r="BI639">
        <v>5</v>
      </c>
      <c r="BJ639" t="s">
        <v>3093</v>
      </c>
      <c r="BK639" t="s">
        <v>419</v>
      </c>
      <c r="BL639" t="s">
        <v>3094</v>
      </c>
      <c r="BM639" t="s">
        <v>7887</v>
      </c>
      <c r="BN639" t="s">
        <v>74</v>
      </c>
      <c r="BO639" t="s">
        <v>3290</v>
      </c>
      <c r="BP639" t="s">
        <v>74</v>
      </c>
      <c r="BQ639" t="s">
        <v>74</v>
      </c>
      <c r="BR639" t="s">
        <v>101</v>
      </c>
      <c r="BS639" t="s">
        <v>7888</v>
      </c>
      <c r="BT639" t="str">
        <f>HYPERLINK("https%3A%2F%2Fwww.webofscience.com%2Fwos%2Fwoscc%2Ffull-record%2FWOS:000254716600002","View Full Record in Web of Science")</f>
        <v>View Full Record in Web of Science</v>
      </c>
    </row>
    <row r="640" spans="1:72" x14ac:dyDescent="0.15">
      <c r="A640" t="s">
        <v>72</v>
      </c>
      <c r="B640" t="s">
        <v>7889</v>
      </c>
      <c r="C640" t="s">
        <v>74</v>
      </c>
      <c r="D640" t="s">
        <v>74</v>
      </c>
      <c r="E640" t="s">
        <v>74</v>
      </c>
      <c r="F640" t="s">
        <v>7890</v>
      </c>
      <c r="G640" t="s">
        <v>74</v>
      </c>
      <c r="H640" t="s">
        <v>74</v>
      </c>
      <c r="I640" t="s">
        <v>7891</v>
      </c>
      <c r="J640" t="s">
        <v>3540</v>
      </c>
      <c r="K640" t="s">
        <v>74</v>
      </c>
      <c r="L640" t="s">
        <v>74</v>
      </c>
      <c r="M640" t="s">
        <v>78</v>
      </c>
      <c r="N640" t="s">
        <v>2737</v>
      </c>
      <c r="O640" t="s">
        <v>74</v>
      </c>
      <c r="P640" t="s">
        <v>74</v>
      </c>
      <c r="Q640" t="s">
        <v>74</v>
      </c>
      <c r="R640" t="s">
        <v>74</v>
      </c>
      <c r="S640" t="s">
        <v>74</v>
      </c>
      <c r="T640" t="s">
        <v>74</v>
      </c>
      <c r="U640" t="s">
        <v>7892</v>
      </c>
      <c r="V640" t="s">
        <v>7893</v>
      </c>
      <c r="W640" t="s">
        <v>7894</v>
      </c>
      <c r="X640" t="s">
        <v>7895</v>
      </c>
      <c r="Y640" t="s">
        <v>7896</v>
      </c>
      <c r="Z640" t="s">
        <v>7897</v>
      </c>
      <c r="AA640" t="s">
        <v>7898</v>
      </c>
      <c r="AB640" t="s">
        <v>7899</v>
      </c>
      <c r="AC640" t="s">
        <v>4254</v>
      </c>
      <c r="AD640" t="s">
        <v>2792</v>
      </c>
      <c r="AE640" t="s">
        <v>74</v>
      </c>
      <c r="AF640" t="s">
        <v>74</v>
      </c>
      <c r="AG640">
        <v>29</v>
      </c>
      <c r="AH640">
        <v>498</v>
      </c>
      <c r="AI640">
        <v>565</v>
      </c>
      <c r="AJ640">
        <v>7</v>
      </c>
      <c r="AK640">
        <v>179</v>
      </c>
      <c r="AL640" t="s">
        <v>3549</v>
      </c>
      <c r="AM640" t="s">
        <v>3550</v>
      </c>
      <c r="AN640" t="s">
        <v>3551</v>
      </c>
      <c r="AO640" t="s">
        <v>3552</v>
      </c>
      <c r="AP640" t="s">
        <v>3553</v>
      </c>
      <c r="AQ640" t="s">
        <v>74</v>
      </c>
      <c r="AR640" t="s">
        <v>3540</v>
      </c>
      <c r="AS640" t="s">
        <v>3554</v>
      </c>
      <c r="AT640" t="s">
        <v>7884</v>
      </c>
      <c r="AU640">
        <v>2008</v>
      </c>
      <c r="AV640">
        <v>452</v>
      </c>
      <c r="AW640">
        <v>7187</v>
      </c>
      <c r="AX640" t="s">
        <v>74</v>
      </c>
      <c r="AY640" t="s">
        <v>74</v>
      </c>
      <c r="AZ640" t="s">
        <v>74</v>
      </c>
      <c r="BA640" t="s">
        <v>74</v>
      </c>
      <c r="BB640">
        <v>616</v>
      </c>
      <c r="BC640">
        <v>619</v>
      </c>
      <c r="BD640" t="s">
        <v>74</v>
      </c>
      <c r="BE640" t="s">
        <v>7900</v>
      </c>
      <c r="BF640" t="str">
        <f>HYPERLINK("http://dx.doi.org/10.1038/nature06763","http://dx.doi.org/10.1038/nature06763")</f>
        <v>http://dx.doi.org/10.1038/nature06763</v>
      </c>
      <c r="BG640" t="s">
        <v>74</v>
      </c>
      <c r="BH640" t="s">
        <v>74</v>
      </c>
      <c r="BI640">
        <v>4</v>
      </c>
      <c r="BJ640" t="s">
        <v>3123</v>
      </c>
      <c r="BK640" t="s">
        <v>419</v>
      </c>
      <c r="BL640" t="s">
        <v>3124</v>
      </c>
      <c r="BM640" t="s">
        <v>7901</v>
      </c>
      <c r="BN640">
        <v>18385736</v>
      </c>
      <c r="BO640" t="s">
        <v>3589</v>
      </c>
      <c r="BP640" t="s">
        <v>74</v>
      </c>
      <c r="BQ640" t="s">
        <v>74</v>
      </c>
      <c r="BR640" t="s">
        <v>101</v>
      </c>
      <c r="BS640" t="s">
        <v>7902</v>
      </c>
      <c r="BT640" t="str">
        <f>HYPERLINK("https%3A%2F%2Fwww.webofscience.com%2Fwos%2Fwoscc%2Ffull-record%2FWOS:000254567200042","View Full Record in Web of Science")</f>
        <v>View Full Record in Web of Science</v>
      </c>
    </row>
    <row r="641" spans="1:72" x14ac:dyDescent="0.15">
      <c r="A641" t="s">
        <v>72</v>
      </c>
      <c r="B641" t="s">
        <v>7903</v>
      </c>
      <c r="C641" t="s">
        <v>74</v>
      </c>
      <c r="D641" t="s">
        <v>74</v>
      </c>
      <c r="E641" t="s">
        <v>74</v>
      </c>
      <c r="F641" t="s">
        <v>7904</v>
      </c>
      <c r="G641" t="s">
        <v>74</v>
      </c>
      <c r="H641" t="s">
        <v>74</v>
      </c>
      <c r="I641" t="s">
        <v>7905</v>
      </c>
      <c r="J641" t="s">
        <v>3270</v>
      </c>
      <c r="K641" t="s">
        <v>74</v>
      </c>
      <c r="L641" t="s">
        <v>74</v>
      </c>
      <c r="M641" t="s">
        <v>78</v>
      </c>
      <c r="N641" t="s">
        <v>2737</v>
      </c>
      <c r="O641" t="s">
        <v>74</v>
      </c>
      <c r="P641" t="s">
        <v>74</v>
      </c>
      <c r="Q641" t="s">
        <v>74</v>
      </c>
      <c r="R641" t="s">
        <v>74</v>
      </c>
      <c r="S641" t="s">
        <v>74</v>
      </c>
      <c r="T641" t="s">
        <v>7906</v>
      </c>
      <c r="U641" t="s">
        <v>7907</v>
      </c>
      <c r="V641" t="s">
        <v>7908</v>
      </c>
      <c r="W641" t="s">
        <v>7909</v>
      </c>
      <c r="X641" t="s">
        <v>7910</v>
      </c>
      <c r="Y641" t="s">
        <v>7911</v>
      </c>
      <c r="Z641" t="s">
        <v>7912</v>
      </c>
      <c r="AA641" t="s">
        <v>7913</v>
      </c>
      <c r="AB641" t="s">
        <v>7914</v>
      </c>
      <c r="AC641" t="s">
        <v>74</v>
      </c>
      <c r="AD641" t="s">
        <v>74</v>
      </c>
      <c r="AE641" t="s">
        <v>74</v>
      </c>
      <c r="AF641" t="s">
        <v>74</v>
      </c>
      <c r="AG641">
        <v>27</v>
      </c>
      <c r="AH641">
        <v>111</v>
      </c>
      <c r="AI641">
        <v>121</v>
      </c>
      <c r="AJ641">
        <v>1</v>
      </c>
      <c r="AK641">
        <v>41</v>
      </c>
      <c r="AL641" t="s">
        <v>3280</v>
      </c>
      <c r="AM641" t="s">
        <v>3281</v>
      </c>
      <c r="AN641" t="s">
        <v>3282</v>
      </c>
      <c r="AO641" t="s">
        <v>3283</v>
      </c>
      <c r="AP641" t="s">
        <v>74</v>
      </c>
      <c r="AQ641" t="s">
        <v>74</v>
      </c>
      <c r="AR641" t="s">
        <v>3284</v>
      </c>
      <c r="AS641" t="s">
        <v>3285</v>
      </c>
      <c r="AT641" t="s">
        <v>7915</v>
      </c>
      <c r="AU641">
        <v>2008</v>
      </c>
      <c r="AV641">
        <v>9</v>
      </c>
      <c r="AW641" t="s">
        <v>74</v>
      </c>
      <c r="AX641" t="s">
        <v>74</v>
      </c>
      <c r="AY641" t="s">
        <v>74</v>
      </c>
      <c r="AZ641" t="s">
        <v>74</v>
      </c>
      <c r="BA641" t="s">
        <v>74</v>
      </c>
      <c r="BB641" t="s">
        <v>74</v>
      </c>
      <c r="BC641" t="s">
        <v>74</v>
      </c>
      <c r="BD641" t="s">
        <v>7916</v>
      </c>
      <c r="BE641" t="s">
        <v>7917</v>
      </c>
      <c r="BF641" t="str">
        <f>HYPERLINK("http://dx.doi.org/10.1029/2007GC001816","http://dx.doi.org/10.1029/2007GC001816")</f>
        <v>http://dx.doi.org/10.1029/2007GC001816</v>
      </c>
      <c r="BG641" t="s">
        <v>74</v>
      </c>
      <c r="BH641" t="s">
        <v>74</v>
      </c>
      <c r="BI641">
        <v>16</v>
      </c>
      <c r="BJ641" t="s">
        <v>98</v>
      </c>
      <c r="BK641" t="s">
        <v>419</v>
      </c>
      <c r="BL641" t="s">
        <v>98</v>
      </c>
      <c r="BM641" t="s">
        <v>7918</v>
      </c>
      <c r="BN641" t="s">
        <v>74</v>
      </c>
      <c r="BO641" t="s">
        <v>3311</v>
      </c>
      <c r="BP641" t="s">
        <v>74</v>
      </c>
      <c r="BQ641" t="s">
        <v>74</v>
      </c>
      <c r="BR641" t="s">
        <v>101</v>
      </c>
      <c r="BS641" t="s">
        <v>7919</v>
      </c>
      <c r="BT641" t="str">
        <f>HYPERLINK("https%3A%2F%2Fwww.webofscience.com%2Fwos%2Fwoscc%2Ffull-record%2FWOS:000254715800003","View Full Record in Web of Science")</f>
        <v>View Full Record in Web of Science</v>
      </c>
    </row>
    <row r="642" spans="1:72" x14ac:dyDescent="0.15">
      <c r="A642" t="s">
        <v>72</v>
      </c>
      <c r="B642" t="s">
        <v>7920</v>
      </c>
      <c r="C642" t="s">
        <v>74</v>
      </c>
      <c r="D642" t="s">
        <v>74</v>
      </c>
      <c r="E642" t="s">
        <v>74</v>
      </c>
      <c r="F642" t="s">
        <v>7921</v>
      </c>
      <c r="G642" t="s">
        <v>74</v>
      </c>
      <c r="H642" t="s">
        <v>74</v>
      </c>
      <c r="I642" t="s">
        <v>7922</v>
      </c>
      <c r="J642" t="s">
        <v>7923</v>
      </c>
      <c r="K642" t="s">
        <v>74</v>
      </c>
      <c r="L642" t="s">
        <v>74</v>
      </c>
      <c r="M642" t="s">
        <v>78</v>
      </c>
      <c r="N642" t="s">
        <v>2737</v>
      </c>
      <c r="O642" t="s">
        <v>74</v>
      </c>
      <c r="P642" t="s">
        <v>74</v>
      </c>
      <c r="Q642" t="s">
        <v>74</v>
      </c>
      <c r="R642" t="s">
        <v>74</v>
      </c>
      <c r="S642" t="s">
        <v>74</v>
      </c>
      <c r="T642" t="s">
        <v>7924</v>
      </c>
      <c r="U642" t="s">
        <v>7925</v>
      </c>
      <c r="V642" t="s">
        <v>7926</v>
      </c>
      <c r="W642" t="s">
        <v>7927</v>
      </c>
      <c r="X642" t="s">
        <v>7928</v>
      </c>
      <c r="Y642" t="s">
        <v>7929</v>
      </c>
      <c r="Z642" t="s">
        <v>7930</v>
      </c>
      <c r="AA642" t="s">
        <v>74</v>
      </c>
      <c r="AB642" t="s">
        <v>74</v>
      </c>
      <c r="AC642" t="s">
        <v>74</v>
      </c>
      <c r="AD642" t="s">
        <v>74</v>
      </c>
      <c r="AE642" t="s">
        <v>74</v>
      </c>
      <c r="AF642" t="s">
        <v>74</v>
      </c>
      <c r="AG642">
        <v>7</v>
      </c>
      <c r="AH642">
        <v>3</v>
      </c>
      <c r="AI642">
        <v>3</v>
      </c>
      <c r="AJ642">
        <v>0</v>
      </c>
      <c r="AK642">
        <v>4</v>
      </c>
      <c r="AL642" t="s">
        <v>7931</v>
      </c>
      <c r="AM642" t="s">
        <v>7932</v>
      </c>
      <c r="AN642" t="s">
        <v>7933</v>
      </c>
      <c r="AO642" t="s">
        <v>7934</v>
      </c>
      <c r="AP642" t="s">
        <v>74</v>
      </c>
      <c r="AQ642" t="s">
        <v>74</v>
      </c>
      <c r="AR642" t="s">
        <v>7935</v>
      </c>
      <c r="AS642" t="s">
        <v>7936</v>
      </c>
      <c r="AT642" t="s">
        <v>7937</v>
      </c>
      <c r="AU642">
        <v>2008</v>
      </c>
      <c r="AV642">
        <v>60</v>
      </c>
      <c r="AW642">
        <v>1</v>
      </c>
      <c r="AX642" t="s">
        <v>74</v>
      </c>
      <c r="AY642" t="s">
        <v>74</v>
      </c>
      <c r="AZ642" t="s">
        <v>74</v>
      </c>
      <c r="BA642" t="s">
        <v>74</v>
      </c>
      <c r="BB642">
        <v>71</v>
      </c>
      <c r="BC642">
        <v>75</v>
      </c>
      <c r="BD642" t="s">
        <v>74</v>
      </c>
      <c r="BE642" t="s">
        <v>74</v>
      </c>
      <c r="BF642" t="s">
        <v>74</v>
      </c>
      <c r="BG642" t="s">
        <v>74</v>
      </c>
      <c r="BH642" t="s">
        <v>74</v>
      </c>
      <c r="BI642">
        <v>5</v>
      </c>
      <c r="BJ642" t="s">
        <v>3203</v>
      </c>
      <c r="BK642" t="s">
        <v>419</v>
      </c>
      <c r="BL642" t="s">
        <v>3203</v>
      </c>
      <c r="BM642" t="s">
        <v>7938</v>
      </c>
      <c r="BN642" t="s">
        <v>74</v>
      </c>
      <c r="BO642" t="s">
        <v>74</v>
      </c>
      <c r="BP642" t="s">
        <v>74</v>
      </c>
      <c r="BQ642" t="s">
        <v>74</v>
      </c>
      <c r="BR642" t="s">
        <v>101</v>
      </c>
      <c r="BS642" t="s">
        <v>7939</v>
      </c>
      <c r="BT642" t="str">
        <f>HYPERLINK("https%3A%2F%2Fwww.webofscience.com%2Fwos%2Fwoscc%2Ffull-record%2FWOS:000256665400007","View Full Record in Web of Science")</f>
        <v>View Full Record in Web of Science</v>
      </c>
    </row>
    <row r="643" spans="1:72" x14ac:dyDescent="0.15">
      <c r="A643" t="s">
        <v>72</v>
      </c>
      <c r="B643" t="s">
        <v>7940</v>
      </c>
      <c r="C643" t="s">
        <v>74</v>
      </c>
      <c r="D643" t="s">
        <v>74</v>
      </c>
      <c r="E643" t="s">
        <v>74</v>
      </c>
      <c r="F643" t="s">
        <v>7941</v>
      </c>
      <c r="G643" t="s">
        <v>74</v>
      </c>
      <c r="H643" t="s">
        <v>74</v>
      </c>
      <c r="I643" t="s">
        <v>7942</v>
      </c>
      <c r="J643" t="s">
        <v>7943</v>
      </c>
      <c r="K643" t="s">
        <v>74</v>
      </c>
      <c r="L643" t="s">
        <v>74</v>
      </c>
      <c r="M643" t="s">
        <v>78</v>
      </c>
      <c r="N643" t="s">
        <v>2737</v>
      </c>
      <c r="O643" t="s">
        <v>74</v>
      </c>
      <c r="P643" t="s">
        <v>74</v>
      </c>
      <c r="Q643" t="s">
        <v>74</v>
      </c>
      <c r="R643" t="s">
        <v>74</v>
      </c>
      <c r="S643" t="s">
        <v>74</v>
      </c>
      <c r="T643" t="s">
        <v>7944</v>
      </c>
      <c r="U643" t="s">
        <v>7945</v>
      </c>
      <c r="V643" t="s">
        <v>7946</v>
      </c>
      <c r="W643" t="s">
        <v>7947</v>
      </c>
      <c r="X643" t="s">
        <v>7948</v>
      </c>
      <c r="Y643" t="s">
        <v>7949</v>
      </c>
      <c r="Z643" t="s">
        <v>7950</v>
      </c>
      <c r="AA643" t="s">
        <v>7951</v>
      </c>
      <c r="AB643" t="s">
        <v>7952</v>
      </c>
      <c r="AC643" t="s">
        <v>7953</v>
      </c>
      <c r="AD643" t="s">
        <v>7953</v>
      </c>
      <c r="AE643" t="s">
        <v>7954</v>
      </c>
      <c r="AF643" t="s">
        <v>74</v>
      </c>
      <c r="AG643">
        <v>28</v>
      </c>
      <c r="AH643">
        <v>10</v>
      </c>
      <c r="AI643">
        <v>12</v>
      </c>
      <c r="AJ643">
        <v>0</v>
      </c>
      <c r="AK643">
        <v>6</v>
      </c>
      <c r="AL643" t="s">
        <v>7955</v>
      </c>
      <c r="AM643" t="s">
        <v>7956</v>
      </c>
      <c r="AN643" t="s">
        <v>7957</v>
      </c>
      <c r="AO643" t="s">
        <v>7958</v>
      </c>
      <c r="AP643" t="s">
        <v>7959</v>
      </c>
      <c r="AQ643" t="s">
        <v>74</v>
      </c>
      <c r="AR643" t="s">
        <v>7960</v>
      </c>
      <c r="AS643" t="s">
        <v>7961</v>
      </c>
      <c r="AT643" t="s">
        <v>7937</v>
      </c>
      <c r="AU643">
        <v>2008</v>
      </c>
      <c r="AV643">
        <v>43</v>
      </c>
      <c r="AW643">
        <v>1</v>
      </c>
      <c r="AX643" t="s">
        <v>74</v>
      </c>
      <c r="AY643" t="s">
        <v>74</v>
      </c>
      <c r="AZ643" t="s">
        <v>74</v>
      </c>
      <c r="BA643" t="s">
        <v>74</v>
      </c>
      <c r="BB643">
        <v>25</v>
      </c>
      <c r="BC643">
        <v>33</v>
      </c>
      <c r="BD643" t="s">
        <v>74</v>
      </c>
      <c r="BE643" t="s">
        <v>7962</v>
      </c>
      <c r="BF643" t="str">
        <f>HYPERLINK("http://dx.doi.org/10.3377/1562-7020(2008)43[25:HSSBSE]2.0.CO;2","http://dx.doi.org/10.3377/1562-7020(2008)43[25:HSSBSE]2.0.CO;2")</f>
        <v>http://dx.doi.org/10.3377/1562-7020(2008)43[25:HSSBSE]2.0.CO;2</v>
      </c>
      <c r="BG643" t="s">
        <v>74</v>
      </c>
      <c r="BH643" t="s">
        <v>74</v>
      </c>
      <c r="BI643">
        <v>9</v>
      </c>
      <c r="BJ643" t="s">
        <v>3203</v>
      </c>
      <c r="BK643" t="s">
        <v>419</v>
      </c>
      <c r="BL643" t="s">
        <v>3203</v>
      </c>
      <c r="BM643" t="s">
        <v>7963</v>
      </c>
      <c r="BN643" t="s">
        <v>74</v>
      </c>
      <c r="BO643" t="s">
        <v>3110</v>
      </c>
      <c r="BP643" t="s">
        <v>74</v>
      </c>
      <c r="BQ643" t="s">
        <v>74</v>
      </c>
      <c r="BR643" t="s">
        <v>101</v>
      </c>
      <c r="BS643" t="s">
        <v>7964</v>
      </c>
      <c r="BT643" t="str">
        <f>HYPERLINK("https%3A%2F%2Fwww.webofscience.com%2Fwos%2Fwoscc%2Ffull-record%2FWOS:000260566800004","View Full Record in Web of Science")</f>
        <v>View Full Record in Web of Science</v>
      </c>
    </row>
    <row r="644" spans="1:72" x14ac:dyDescent="0.15">
      <c r="A644" t="s">
        <v>72</v>
      </c>
      <c r="B644" t="s">
        <v>7965</v>
      </c>
      <c r="C644" t="s">
        <v>74</v>
      </c>
      <c r="D644" t="s">
        <v>74</v>
      </c>
      <c r="E644" t="s">
        <v>74</v>
      </c>
      <c r="F644" t="s">
        <v>7966</v>
      </c>
      <c r="G644" t="s">
        <v>74</v>
      </c>
      <c r="H644" t="s">
        <v>74</v>
      </c>
      <c r="I644" t="s">
        <v>7967</v>
      </c>
      <c r="J644" t="s">
        <v>7943</v>
      </c>
      <c r="K644" t="s">
        <v>74</v>
      </c>
      <c r="L644" t="s">
        <v>74</v>
      </c>
      <c r="M644" t="s">
        <v>78</v>
      </c>
      <c r="N644" t="s">
        <v>2737</v>
      </c>
      <c r="O644" t="s">
        <v>74</v>
      </c>
      <c r="P644" t="s">
        <v>74</v>
      </c>
      <c r="Q644" t="s">
        <v>74</v>
      </c>
      <c r="R644" t="s">
        <v>74</v>
      </c>
      <c r="S644" t="s">
        <v>74</v>
      </c>
      <c r="T644" t="s">
        <v>7968</v>
      </c>
      <c r="U644" t="s">
        <v>7969</v>
      </c>
      <c r="V644" t="s">
        <v>7970</v>
      </c>
      <c r="W644" t="s">
        <v>7971</v>
      </c>
      <c r="X644" t="s">
        <v>4902</v>
      </c>
      <c r="Y644" t="s">
        <v>4903</v>
      </c>
      <c r="Z644" t="s">
        <v>4904</v>
      </c>
      <c r="AA644" t="s">
        <v>7972</v>
      </c>
      <c r="AB644" t="s">
        <v>7952</v>
      </c>
      <c r="AC644" t="s">
        <v>7973</v>
      </c>
      <c r="AD644" t="s">
        <v>7973</v>
      </c>
      <c r="AE644" t="s">
        <v>7974</v>
      </c>
      <c r="AF644" t="s">
        <v>74</v>
      </c>
      <c r="AG644">
        <v>31</v>
      </c>
      <c r="AH644">
        <v>11</v>
      </c>
      <c r="AI644">
        <v>12</v>
      </c>
      <c r="AJ644">
        <v>0</v>
      </c>
      <c r="AK644">
        <v>7</v>
      </c>
      <c r="AL644" t="s">
        <v>7955</v>
      </c>
      <c r="AM644" t="s">
        <v>7956</v>
      </c>
      <c r="AN644" t="s">
        <v>7957</v>
      </c>
      <c r="AO644" t="s">
        <v>7958</v>
      </c>
      <c r="AP644" t="s">
        <v>74</v>
      </c>
      <c r="AQ644" t="s">
        <v>74</v>
      </c>
      <c r="AR644" t="s">
        <v>7960</v>
      </c>
      <c r="AS644" t="s">
        <v>7961</v>
      </c>
      <c r="AT644" t="s">
        <v>7937</v>
      </c>
      <c r="AU644">
        <v>2008</v>
      </c>
      <c r="AV644">
        <v>43</v>
      </c>
      <c r="AW644">
        <v>1</v>
      </c>
      <c r="AX644" t="s">
        <v>74</v>
      </c>
      <c r="AY644" t="s">
        <v>74</v>
      </c>
      <c r="AZ644" t="s">
        <v>74</v>
      </c>
      <c r="BA644" t="s">
        <v>74</v>
      </c>
      <c r="BB644">
        <v>75</v>
      </c>
      <c r="BC644">
        <v>80</v>
      </c>
      <c r="BD644" t="s">
        <v>74</v>
      </c>
      <c r="BE644" t="s">
        <v>7975</v>
      </c>
      <c r="BF644" t="str">
        <f>HYPERLINK("http://dx.doi.org/10.3377/1562-7020(2008)43[75:EFDDPR]2.0.CO;2","http://dx.doi.org/10.3377/1562-7020(2008)43[75:EFDDPR]2.0.CO;2")</f>
        <v>http://dx.doi.org/10.3377/1562-7020(2008)43[75:EFDDPR]2.0.CO;2</v>
      </c>
      <c r="BG644" t="s">
        <v>74</v>
      </c>
      <c r="BH644" t="s">
        <v>74</v>
      </c>
      <c r="BI644">
        <v>6</v>
      </c>
      <c r="BJ644" t="s">
        <v>3203</v>
      </c>
      <c r="BK644" t="s">
        <v>419</v>
      </c>
      <c r="BL644" t="s">
        <v>3203</v>
      </c>
      <c r="BM644" t="s">
        <v>7963</v>
      </c>
      <c r="BN644" t="s">
        <v>74</v>
      </c>
      <c r="BO644" t="s">
        <v>3110</v>
      </c>
      <c r="BP644" t="s">
        <v>74</v>
      </c>
      <c r="BQ644" t="s">
        <v>74</v>
      </c>
      <c r="BR644" t="s">
        <v>101</v>
      </c>
      <c r="BS644" t="s">
        <v>7976</v>
      </c>
      <c r="BT644" t="str">
        <f>HYPERLINK("https%3A%2F%2Fwww.webofscience.com%2Fwos%2Fwoscc%2Ffull-record%2FWOS:000260566800010","View Full Record in Web of Science")</f>
        <v>View Full Record in Web of Science</v>
      </c>
    </row>
    <row r="645" spans="1:72" x14ac:dyDescent="0.15">
      <c r="A645" t="s">
        <v>72</v>
      </c>
      <c r="B645" t="s">
        <v>7977</v>
      </c>
      <c r="C645" t="s">
        <v>74</v>
      </c>
      <c r="D645" t="s">
        <v>74</v>
      </c>
      <c r="E645" t="s">
        <v>74</v>
      </c>
      <c r="F645" t="s">
        <v>7978</v>
      </c>
      <c r="G645" t="s">
        <v>74</v>
      </c>
      <c r="H645" t="s">
        <v>74</v>
      </c>
      <c r="I645" t="s">
        <v>7979</v>
      </c>
      <c r="J645" t="s">
        <v>7980</v>
      </c>
      <c r="K645" t="s">
        <v>74</v>
      </c>
      <c r="L645" t="s">
        <v>74</v>
      </c>
      <c r="M645" t="s">
        <v>78</v>
      </c>
      <c r="N645" t="s">
        <v>2737</v>
      </c>
      <c r="O645" t="s">
        <v>74</v>
      </c>
      <c r="P645" t="s">
        <v>74</v>
      </c>
      <c r="Q645" t="s">
        <v>74</v>
      </c>
      <c r="R645" t="s">
        <v>74</v>
      </c>
      <c r="S645" t="s">
        <v>74</v>
      </c>
      <c r="T645" t="s">
        <v>74</v>
      </c>
      <c r="U645" t="s">
        <v>7981</v>
      </c>
      <c r="V645" t="s">
        <v>7982</v>
      </c>
      <c r="W645" t="s">
        <v>7983</v>
      </c>
      <c r="X645" t="s">
        <v>7984</v>
      </c>
      <c r="Y645" t="s">
        <v>7985</v>
      </c>
      <c r="Z645" t="s">
        <v>7986</v>
      </c>
      <c r="AA645" t="s">
        <v>7987</v>
      </c>
      <c r="AB645" t="s">
        <v>7988</v>
      </c>
      <c r="AC645" t="s">
        <v>74</v>
      </c>
      <c r="AD645" t="s">
        <v>74</v>
      </c>
      <c r="AE645" t="s">
        <v>74</v>
      </c>
      <c r="AF645" t="s">
        <v>74</v>
      </c>
      <c r="AG645">
        <v>75</v>
      </c>
      <c r="AH645">
        <v>64</v>
      </c>
      <c r="AI645">
        <v>85</v>
      </c>
      <c r="AJ645">
        <v>0</v>
      </c>
      <c r="AK645">
        <v>17</v>
      </c>
      <c r="AL645" t="s">
        <v>7989</v>
      </c>
      <c r="AM645" t="s">
        <v>7990</v>
      </c>
      <c r="AN645" t="s">
        <v>7991</v>
      </c>
      <c r="AO645" t="s">
        <v>7992</v>
      </c>
      <c r="AP645" t="s">
        <v>7993</v>
      </c>
      <c r="AQ645" t="s">
        <v>74</v>
      </c>
      <c r="AR645" t="s">
        <v>7994</v>
      </c>
      <c r="AS645" t="s">
        <v>7995</v>
      </c>
      <c r="AT645" t="s">
        <v>7937</v>
      </c>
      <c r="AU645">
        <v>2008</v>
      </c>
      <c r="AV645">
        <v>308</v>
      </c>
      <c r="AW645">
        <v>4</v>
      </c>
      <c r="AX645" t="s">
        <v>74</v>
      </c>
      <c r="AY645" t="s">
        <v>74</v>
      </c>
      <c r="AZ645" t="s">
        <v>74</v>
      </c>
      <c r="BA645" t="s">
        <v>74</v>
      </c>
      <c r="BB645">
        <v>573</v>
      </c>
      <c r="BC645">
        <v>617</v>
      </c>
      <c r="BD645" t="s">
        <v>74</v>
      </c>
      <c r="BE645" t="s">
        <v>7996</v>
      </c>
      <c r="BF645" t="str">
        <f>HYPERLINK("http://dx.doi.org/10.2475/04.2008.07","http://dx.doi.org/10.2475/04.2008.07")</f>
        <v>http://dx.doi.org/10.2475/04.2008.07</v>
      </c>
      <c r="BG645" t="s">
        <v>74</v>
      </c>
      <c r="BH645" t="s">
        <v>74</v>
      </c>
      <c r="BI645">
        <v>45</v>
      </c>
      <c r="BJ645" t="s">
        <v>3093</v>
      </c>
      <c r="BK645" t="s">
        <v>419</v>
      </c>
      <c r="BL645" t="s">
        <v>3094</v>
      </c>
      <c r="BM645" t="s">
        <v>7997</v>
      </c>
      <c r="BN645" t="s">
        <v>74</v>
      </c>
      <c r="BO645" t="s">
        <v>3110</v>
      </c>
      <c r="BP645" t="s">
        <v>74</v>
      </c>
      <c r="BQ645" t="s">
        <v>74</v>
      </c>
      <c r="BR645" t="s">
        <v>101</v>
      </c>
      <c r="BS645" t="s">
        <v>7998</v>
      </c>
      <c r="BT645" t="str">
        <f>HYPERLINK("https%3A%2F%2Fwww.webofscience.com%2Fwos%2Fwoscc%2Ffull-record%2FWOS:000258131900007","View Full Record in Web of Science")</f>
        <v>View Full Record in Web of Science</v>
      </c>
    </row>
    <row r="646" spans="1:72" x14ac:dyDescent="0.15">
      <c r="A646" t="s">
        <v>72</v>
      </c>
      <c r="B646" t="s">
        <v>7999</v>
      </c>
      <c r="C646" t="s">
        <v>74</v>
      </c>
      <c r="D646" t="s">
        <v>74</v>
      </c>
      <c r="E646" t="s">
        <v>74</v>
      </c>
      <c r="F646" t="s">
        <v>8000</v>
      </c>
      <c r="G646" t="s">
        <v>74</v>
      </c>
      <c r="H646" t="s">
        <v>74</v>
      </c>
      <c r="I646" t="s">
        <v>8001</v>
      </c>
      <c r="J646" t="s">
        <v>8002</v>
      </c>
      <c r="K646" t="s">
        <v>74</v>
      </c>
      <c r="L646" t="s">
        <v>74</v>
      </c>
      <c r="M646" t="s">
        <v>78</v>
      </c>
      <c r="N646" t="s">
        <v>2737</v>
      </c>
      <c r="O646" t="s">
        <v>74</v>
      </c>
      <c r="P646" t="s">
        <v>74</v>
      </c>
      <c r="Q646" t="s">
        <v>74</v>
      </c>
      <c r="R646" t="s">
        <v>74</v>
      </c>
      <c r="S646" t="s">
        <v>74</v>
      </c>
      <c r="T646" t="s">
        <v>8003</v>
      </c>
      <c r="U646" t="s">
        <v>8004</v>
      </c>
      <c r="V646" t="s">
        <v>8005</v>
      </c>
      <c r="W646" t="s">
        <v>8006</v>
      </c>
      <c r="X646" t="s">
        <v>2786</v>
      </c>
      <c r="Y646" t="s">
        <v>8007</v>
      </c>
      <c r="Z646" t="s">
        <v>8008</v>
      </c>
      <c r="AA646" t="s">
        <v>8009</v>
      </c>
      <c r="AB646" t="s">
        <v>8010</v>
      </c>
      <c r="AC646" t="s">
        <v>4704</v>
      </c>
      <c r="AD646" t="s">
        <v>3031</v>
      </c>
      <c r="AE646" t="s">
        <v>74</v>
      </c>
      <c r="AF646" t="s">
        <v>74</v>
      </c>
      <c r="AG646">
        <v>44</v>
      </c>
      <c r="AH646">
        <v>51</v>
      </c>
      <c r="AI646">
        <v>58</v>
      </c>
      <c r="AJ646">
        <v>0</v>
      </c>
      <c r="AK646">
        <v>30</v>
      </c>
      <c r="AL646" t="s">
        <v>8011</v>
      </c>
      <c r="AM646" t="s">
        <v>3550</v>
      </c>
      <c r="AN646" t="s">
        <v>8012</v>
      </c>
      <c r="AO646" t="s">
        <v>8013</v>
      </c>
      <c r="AP646" t="s">
        <v>8014</v>
      </c>
      <c r="AQ646" t="s">
        <v>74</v>
      </c>
      <c r="AR646" t="s">
        <v>8015</v>
      </c>
      <c r="AS646" t="s">
        <v>8016</v>
      </c>
      <c r="AT646" t="s">
        <v>7937</v>
      </c>
      <c r="AU646">
        <v>2008</v>
      </c>
      <c r="AV646">
        <v>75</v>
      </c>
      <c r="AW646" t="s">
        <v>74</v>
      </c>
      <c r="AX646">
        <v>4</v>
      </c>
      <c r="AY646" t="s">
        <v>74</v>
      </c>
      <c r="AZ646" t="s">
        <v>74</v>
      </c>
      <c r="BA646" t="s">
        <v>74</v>
      </c>
      <c r="BB646">
        <v>1581</v>
      </c>
      <c r="BC646">
        <v>1590</v>
      </c>
      <c r="BD646" t="s">
        <v>74</v>
      </c>
      <c r="BE646" t="s">
        <v>8017</v>
      </c>
      <c r="BF646" t="str">
        <f>HYPERLINK("http://dx.doi.org/10.1016/j.anbehav.2007.10.012","http://dx.doi.org/10.1016/j.anbehav.2007.10.012")</f>
        <v>http://dx.doi.org/10.1016/j.anbehav.2007.10.012</v>
      </c>
      <c r="BG646" t="s">
        <v>74</v>
      </c>
      <c r="BH646" t="s">
        <v>74</v>
      </c>
      <c r="BI646">
        <v>10</v>
      </c>
      <c r="BJ646" t="s">
        <v>6587</v>
      </c>
      <c r="BK646" t="s">
        <v>419</v>
      </c>
      <c r="BL646" t="s">
        <v>6587</v>
      </c>
      <c r="BM646" t="s">
        <v>8018</v>
      </c>
      <c r="BN646" t="s">
        <v>74</v>
      </c>
      <c r="BO646" t="s">
        <v>74</v>
      </c>
      <c r="BP646" t="s">
        <v>74</v>
      </c>
      <c r="BQ646" t="s">
        <v>74</v>
      </c>
      <c r="BR646" t="s">
        <v>101</v>
      </c>
      <c r="BS646" t="s">
        <v>8019</v>
      </c>
      <c r="BT646" t="str">
        <f>HYPERLINK("https%3A%2F%2Fwww.webofscience.com%2Fwos%2Fwoscc%2Ffull-record%2FWOS:000254258000042","View Full Record in Web of Science")</f>
        <v>View Full Record in Web of Science</v>
      </c>
    </row>
    <row r="647" spans="1:72" x14ac:dyDescent="0.15">
      <c r="A647" t="s">
        <v>72</v>
      </c>
      <c r="B647" t="s">
        <v>8020</v>
      </c>
      <c r="C647" t="s">
        <v>74</v>
      </c>
      <c r="D647" t="s">
        <v>74</v>
      </c>
      <c r="E647" t="s">
        <v>74</v>
      </c>
      <c r="F647" t="s">
        <v>8021</v>
      </c>
      <c r="G647" t="s">
        <v>74</v>
      </c>
      <c r="H647" t="s">
        <v>74</v>
      </c>
      <c r="I647" t="s">
        <v>8022</v>
      </c>
      <c r="J647" t="s">
        <v>4127</v>
      </c>
      <c r="K647" t="s">
        <v>74</v>
      </c>
      <c r="L647" t="s">
        <v>74</v>
      </c>
      <c r="M647" t="s">
        <v>78</v>
      </c>
      <c r="N647" t="s">
        <v>2989</v>
      </c>
      <c r="O647" t="s">
        <v>74</v>
      </c>
      <c r="P647" t="s">
        <v>74</v>
      </c>
      <c r="Q647" t="s">
        <v>74</v>
      </c>
      <c r="R647" t="s">
        <v>74</v>
      </c>
      <c r="S647" t="s">
        <v>74</v>
      </c>
      <c r="T647" t="s">
        <v>74</v>
      </c>
      <c r="U647" t="s">
        <v>74</v>
      </c>
      <c r="V647" t="s">
        <v>74</v>
      </c>
      <c r="W647" t="s">
        <v>74</v>
      </c>
      <c r="X647" t="s">
        <v>74</v>
      </c>
      <c r="Y647" t="s">
        <v>74</v>
      </c>
      <c r="Z647" t="s">
        <v>74</v>
      </c>
      <c r="AA647" t="s">
        <v>74</v>
      </c>
      <c r="AB647" t="s">
        <v>8023</v>
      </c>
      <c r="AC647" t="s">
        <v>74</v>
      </c>
      <c r="AD647" t="s">
        <v>74</v>
      </c>
      <c r="AE647" t="s">
        <v>74</v>
      </c>
      <c r="AF647" t="s">
        <v>74</v>
      </c>
      <c r="AG647">
        <v>0</v>
      </c>
      <c r="AH647">
        <v>0</v>
      </c>
      <c r="AI647">
        <v>0</v>
      </c>
      <c r="AJ647">
        <v>0</v>
      </c>
      <c r="AK647">
        <v>1</v>
      </c>
      <c r="AL647" t="s">
        <v>2964</v>
      </c>
      <c r="AM647" t="s">
        <v>2747</v>
      </c>
      <c r="AN647" t="s">
        <v>2965</v>
      </c>
      <c r="AO647" t="s">
        <v>4129</v>
      </c>
      <c r="AP647" t="s">
        <v>4130</v>
      </c>
      <c r="AQ647" t="s">
        <v>74</v>
      </c>
      <c r="AR647" t="s">
        <v>4131</v>
      </c>
      <c r="AS647" t="s">
        <v>4132</v>
      </c>
      <c r="AT647" t="s">
        <v>7937</v>
      </c>
      <c r="AU647">
        <v>2008</v>
      </c>
      <c r="AV647">
        <v>20</v>
      </c>
      <c r="AW647">
        <v>2</v>
      </c>
      <c r="AX647" t="s">
        <v>74</v>
      </c>
      <c r="AY647" t="s">
        <v>74</v>
      </c>
      <c r="AZ647" t="s">
        <v>74</v>
      </c>
      <c r="BA647" t="s">
        <v>74</v>
      </c>
      <c r="BB647">
        <v>113</v>
      </c>
      <c r="BC647">
        <v>113</v>
      </c>
      <c r="BD647" t="s">
        <v>74</v>
      </c>
      <c r="BE647" t="s">
        <v>8024</v>
      </c>
      <c r="BF647" t="str">
        <f>HYPERLINK("http://dx.doi.org/10.1017/S0954102008001119","http://dx.doi.org/10.1017/S0954102008001119")</f>
        <v>http://dx.doi.org/10.1017/S0954102008001119</v>
      </c>
      <c r="BG647" t="s">
        <v>74</v>
      </c>
      <c r="BH647" t="s">
        <v>74</v>
      </c>
      <c r="BI647">
        <v>1</v>
      </c>
      <c r="BJ647" t="s">
        <v>4134</v>
      </c>
      <c r="BK647" t="s">
        <v>419</v>
      </c>
      <c r="BL647" t="s">
        <v>4135</v>
      </c>
      <c r="BM647" t="s">
        <v>8025</v>
      </c>
      <c r="BN647" t="s">
        <v>74</v>
      </c>
      <c r="BO647" t="s">
        <v>3290</v>
      </c>
      <c r="BP647" t="s">
        <v>74</v>
      </c>
      <c r="BQ647" t="s">
        <v>74</v>
      </c>
      <c r="BR647" t="s">
        <v>101</v>
      </c>
      <c r="BS647" t="s">
        <v>8026</v>
      </c>
      <c r="BT647" t="str">
        <f>HYPERLINK("https%3A%2F%2Fwww.webofscience.com%2Fwos%2Fwoscc%2Ffull-record%2FWOS:000254926000001","View Full Record in Web of Science")</f>
        <v>View Full Record in Web of Science</v>
      </c>
    </row>
    <row r="648" spans="1:72" x14ac:dyDescent="0.15">
      <c r="A648" t="s">
        <v>72</v>
      </c>
      <c r="B648" t="s">
        <v>8027</v>
      </c>
      <c r="C648" t="s">
        <v>74</v>
      </c>
      <c r="D648" t="s">
        <v>74</v>
      </c>
      <c r="E648" t="s">
        <v>74</v>
      </c>
      <c r="F648" t="s">
        <v>8028</v>
      </c>
      <c r="G648" t="s">
        <v>74</v>
      </c>
      <c r="H648" t="s">
        <v>74</v>
      </c>
      <c r="I648" t="s">
        <v>8029</v>
      </c>
      <c r="J648" t="s">
        <v>4127</v>
      </c>
      <c r="K648" t="s">
        <v>74</v>
      </c>
      <c r="L648" t="s">
        <v>74</v>
      </c>
      <c r="M648" t="s">
        <v>78</v>
      </c>
      <c r="N648" t="s">
        <v>2737</v>
      </c>
      <c r="O648" t="s">
        <v>74</v>
      </c>
      <c r="P648" t="s">
        <v>74</v>
      </c>
      <c r="Q648" t="s">
        <v>74</v>
      </c>
      <c r="R648" t="s">
        <v>74</v>
      </c>
      <c r="S648" t="s">
        <v>74</v>
      </c>
      <c r="T648" t="s">
        <v>8030</v>
      </c>
      <c r="U648" t="s">
        <v>8031</v>
      </c>
      <c r="V648" t="s">
        <v>8032</v>
      </c>
      <c r="W648" t="s">
        <v>8033</v>
      </c>
      <c r="X648" t="s">
        <v>8034</v>
      </c>
      <c r="Y648" t="s">
        <v>8035</v>
      </c>
      <c r="Z648" t="s">
        <v>8036</v>
      </c>
      <c r="AA648" t="s">
        <v>74</v>
      </c>
      <c r="AB648" t="s">
        <v>74</v>
      </c>
      <c r="AC648" t="s">
        <v>74</v>
      </c>
      <c r="AD648" t="s">
        <v>74</v>
      </c>
      <c r="AE648" t="s">
        <v>74</v>
      </c>
      <c r="AF648" t="s">
        <v>74</v>
      </c>
      <c r="AG648">
        <v>20</v>
      </c>
      <c r="AH648">
        <v>7</v>
      </c>
      <c r="AI648">
        <v>8</v>
      </c>
      <c r="AJ648">
        <v>1</v>
      </c>
      <c r="AK648">
        <v>12</v>
      </c>
      <c r="AL648" t="s">
        <v>2964</v>
      </c>
      <c r="AM648" t="s">
        <v>2747</v>
      </c>
      <c r="AN648" t="s">
        <v>2965</v>
      </c>
      <c r="AO648" t="s">
        <v>4129</v>
      </c>
      <c r="AP648" t="s">
        <v>74</v>
      </c>
      <c r="AQ648" t="s">
        <v>74</v>
      </c>
      <c r="AR648" t="s">
        <v>4131</v>
      </c>
      <c r="AS648" t="s">
        <v>4132</v>
      </c>
      <c r="AT648" t="s">
        <v>7937</v>
      </c>
      <c r="AU648">
        <v>2008</v>
      </c>
      <c r="AV648">
        <v>20</v>
      </c>
      <c r="AW648">
        <v>2</v>
      </c>
      <c r="AX648" t="s">
        <v>74</v>
      </c>
      <c r="AY648" t="s">
        <v>74</v>
      </c>
      <c r="AZ648" t="s">
        <v>74</v>
      </c>
      <c r="BA648" t="s">
        <v>74</v>
      </c>
      <c r="BB648">
        <v>115</v>
      </c>
      <c r="BC648">
        <v>121</v>
      </c>
      <c r="BD648" t="s">
        <v>74</v>
      </c>
      <c r="BE648" t="s">
        <v>8037</v>
      </c>
      <c r="BF648" t="str">
        <f>HYPERLINK("http://dx.doi.org/10.1017/S0954102007000855","http://dx.doi.org/10.1017/S0954102007000855")</f>
        <v>http://dx.doi.org/10.1017/S0954102007000855</v>
      </c>
      <c r="BG648" t="s">
        <v>74</v>
      </c>
      <c r="BH648" t="s">
        <v>74</v>
      </c>
      <c r="BI648">
        <v>7</v>
      </c>
      <c r="BJ648" t="s">
        <v>4134</v>
      </c>
      <c r="BK648" t="s">
        <v>419</v>
      </c>
      <c r="BL648" t="s">
        <v>4135</v>
      </c>
      <c r="BM648" t="s">
        <v>8025</v>
      </c>
      <c r="BN648" t="s">
        <v>74</v>
      </c>
      <c r="BO648" t="s">
        <v>74</v>
      </c>
      <c r="BP648" t="s">
        <v>74</v>
      </c>
      <c r="BQ648" t="s">
        <v>74</v>
      </c>
      <c r="BR648" t="s">
        <v>101</v>
      </c>
      <c r="BS648" t="s">
        <v>8038</v>
      </c>
      <c r="BT648" t="str">
        <f>HYPERLINK("https%3A%2F%2Fwww.webofscience.com%2Fwos%2Fwoscc%2Ffull-record%2FWOS:000254926000002","View Full Record in Web of Science")</f>
        <v>View Full Record in Web of Science</v>
      </c>
    </row>
    <row r="649" spans="1:72" x14ac:dyDescent="0.15">
      <c r="A649" t="s">
        <v>72</v>
      </c>
      <c r="B649" t="s">
        <v>8039</v>
      </c>
      <c r="C649" t="s">
        <v>74</v>
      </c>
      <c r="D649" t="s">
        <v>74</v>
      </c>
      <c r="E649" t="s">
        <v>74</v>
      </c>
      <c r="F649" t="s">
        <v>8040</v>
      </c>
      <c r="G649" t="s">
        <v>74</v>
      </c>
      <c r="H649" t="s">
        <v>74</v>
      </c>
      <c r="I649" t="s">
        <v>8041</v>
      </c>
      <c r="J649" t="s">
        <v>4127</v>
      </c>
      <c r="K649" t="s">
        <v>74</v>
      </c>
      <c r="L649" t="s">
        <v>74</v>
      </c>
      <c r="M649" t="s">
        <v>78</v>
      </c>
      <c r="N649" t="s">
        <v>2737</v>
      </c>
      <c r="O649" t="s">
        <v>74</v>
      </c>
      <c r="P649" t="s">
        <v>74</v>
      </c>
      <c r="Q649" t="s">
        <v>74</v>
      </c>
      <c r="R649" t="s">
        <v>74</v>
      </c>
      <c r="S649" t="s">
        <v>74</v>
      </c>
      <c r="T649" t="s">
        <v>8042</v>
      </c>
      <c r="U649" t="s">
        <v>8043</v>
      </c>
      <c r="V649" t="s">
        <v>8044</v>
      </c>
      <c r="W649" t="s">
        <v>8045</v>
      </c>
      <c r="X649" t="s">
        <v>8046</v>
      </c>
      <c r="Y649" t="s">
        <v>8047</v>
      </c>
      <c r="Z649" t="s">
        <v>8048</v>
      </c>
      <c r="AA649" t="s">
        <v>8049</v>
      </c>
      <c r="AB649" t="s">
        <v>8050</v>
      </c>
      <c r="AC649" t="s">
        <v>74</v>
      </c>
      <c r="AD649" t="s">
        <v>74</v>
      </c>
      <c r="AE649" t="s">
        <v>74</v>
      </c>
      <c r="AF649" t="s">
        <v>74</v>
      </c>
      <c r="AG649">
        <v>40</v>
      </c>
      <c r="AH649">
        <v>21</v>
      </c>
      <c r="AI649">
        <v>23</v>
      </c>
      <c r="AJ649">
        <v>0</v>
      </c>
      <c r="AK649">
        <v>12</v>
      </c>
      <c r="AL649" t="s">
        <v>2964</v>
      </c>
      <c r="AM649" t="s">
        <v>2747</v>
      </c>
      <c r="AN649" t="s">
        <v>2965</v>
      </c>
      <c r="AO649" t="s">
        <v>4129</v>
      </c>
      <c r="AP649" t="s">
        <v>4130</v>
      </c>
      <c r="AQ649" t="s">
        <v>74</v>
      </c>
      <c r="AR649" t="s">
        <v>4131</v>
      </c>
      <c r="AS649" t="s">
        <v>4132</v>
      </c>
      <c r="AT649" t="s">
        <v>7937</v>
      </c>
      <c r="AU649">
        <v>2008</v>
      </c>
      <c r="AV649">
        <v>20</v>
      </c>
      <c r="AW649">
        <v>2</v>
      </c>
      <c r="AX649" t="s">
        <v>74</v>
      </c>
      <c r="AY649" t="s">
        <v>74</v>
      </c>
      <c r="AZ649" t="s">
        <v>74</v>
      </c>
      <c r="BA649" t="s">
        <v>74</v>
      </c>
      <c r="BB649">
        <v>123</v>
      </c>
      <c r="BC649">
        <v>133</v>
      </c>
      <c r="BD649" t="s">
        <v>74</v>
      </c>
      <c r="BE649" t="s">
        <v>8051</v>
      </c>
      <c r="BF649" t="str">
        <f>HYPERLINK("http://dx.doi.org/10.1017/S0954102007000879","http://dx.doi.org/10.1017/S0954102007000879")</f>
        <v>http://dx.doi.org/10.1017/S0954102007000879</v>
      </c>
      <c r="BG649" t="s">
        <v>74</v>
      </c>
      <c r="BH649" t="s">
        <v>74</v>
      </c>
      <c r="BI649">
        <v>11</v>
      </c>
      <c r="BJ649" t="s">
        <v>4134</v>
      </c>
      <c r="BK649" t="s">
        <v>419</v>
      </c>
      <c r="BL649" t="s">
        <v>4135</v>
      </c>
      <c r="BM649" t="s">
        <v>8025</v>
      </c>
      <c r="BN649" t="s">
        <v>74</v>
      </c>
      <c r="BO649" t="s">
        <v>74</v>
      </c>
      <c r="BP649" t="s">
        <v>74</v>
      </c>
      <c r="BQ649" t="s">
        <v>74</v>
      </c>
      <c r="BR649" t="s">
        <v>101</v>
      </c>
      <c r="BS649" t="s">
        <v>8052</v>
      </c>
      <c r="BT649" t="str">
        <f>HYPERLINK("https%3A%2F%2Fwww.webofscience.com%2Fwos%2Fwoscc%2Ffull-record%2FWOS:000254926000003","View Full Record in Web of Science")</f>
        <v>View Full Record in Web of Science</v>
      </c>
    </row>
    <row r="650" spans="1:72" x14ac:dyDescent="0.15">
      <c r="A650" t="s">
        <v>72</v>
      </c>
      <c r="B650" t="s">
        <v>8053</v>
      </c>
      <c r="C650" t="s">
        <v>74</v>
      </c>
      <c r="D650" t="s">
        <v>74</v>
      </c>
      <c r="E650" t="s">
        <v>74</v>
      </c>
      <c r="F650" t="s">
        <v>8054</v>
      </c>
      <c r="G650" t="s">
        <v>74</v>
      </c>
      <c r="H650" t="s">
        <v>74</v>
      </c>
      <c r="I650" t="s">
        <v>8055</v>
      </c>
      <c r="J650" t="s">
        <v>4127</v>
      </c>
      <c r="K650" t="s">
        <v>74</v>
      </c>
      <c r="L650" t="s">
        <v>74</v>
      </c>
      <c r="M650" t="s">
        <v>78</v>
      </c>
      <c r="N650" t="s">
        <v>2737</v>
      </c>
      <c r="O650" t="s">
        <v>74</v>
      </c>
      <c r="P650" t="s">
        <v>74</v>
      </c>
      <c r="Q650" t="s">
        <v>74</v>
      </c>
      <c r="R650" t="s">
        <v>74</v>
      </c>
      <c r="S650" t="s">
        <v>74</v>
      </c>
      <c r="T650" t="s">
        <v>8056</v>
      </c>
      <c r="U650" t="s">
        <v>8057</v>
      </c>
      <c r="V650" t="s">
        <v>8058</v>
      </c>
      <c r="W650" t="s">
        <v>8059</v>
      </c>
      <c r="X650" t="s">
        <v>8060</v>
      </c>
      <c r="Y650" t="s">
        <v>8061</v>
      </c>
      <c r="Z650" t="s">
        <v>8062</v>
      </c>
      <c r="AA650" t="s">
        <v>8063</v>
      </c>
      <c r="AB650" t="s">
        <v>8064</v>
      </c>
      <c r="AC650" t="s">
        <v>74</v>
      </c>
      <c r="AD650" t="s">
        <v>74</v>
      </c>
      <c r="AE650" t="s">
        <v>74</v>
      </c>
      <c r="AF650" t="s">
        <v>74</v>
      </c>
      <c r="AG650">
        <v>54</v>
      </c>
      <c r="AH650">
        <v>23</v>
      </c>
      <c r="AI650">
        <v>27</v>
      </c>
      <c r="AJ650">
        <v>0</v>
      </c>
      <c r="AK650">
        <v>8</v>
      </c>
      <c r="AL650" t="s">
        <v>2964</v>
      </c>
      <c r="AM650" t="s">
        <v>2747</v>
      </c>
      <c r="AN650" t="s">
        <v>2965</v>
      </c>
      <c r="AO650" t="s">
        <v>4129</v>
      </c>
      <c r="AP650" t="s">
        <v>4130</v>
      </c>
      <c r="AQ650" t="s">
        <v>74</v>
      </c>
      <c r="AR650" t="s">
        <v>4131</v>
      </c>
      <c r="AS650" t="s">
        <v>4132</v>
      </c>
      <c r="AT650" t="s">
        <v>7937</v>
      </c>
      <c r="AU650">
        <v>2008</v>
      </c>
      <c r="AV650">
        <v>20</v>
      </c>
      <c r="AW650">
        <v>2</v>
      </c>
      <c r="AX650" t="s">
        <v>74</v>
      </c>
      <c r="AY650" t="s">
        <v>74</v>
      </c>
      <c r="AZ650" t="s">
        <v>74</v>
      </c>
      <c r="BA650" t="s">
        <v>74</v>
      </c>
      <c r="BB650">
        <v>135</v>
      </c>
      <c r="BC650">
        <v>145</v>
      </c>
      <c r="BD650" t="s">
        <v>74</v>
      </c>
      <c r="BE650" t="s">
        <v>8065</v>
      </c>
      <c r="BF650" t="str">
        <f>HYPERLINK("http://dx.doi.org/10.1017/S0954102007000909","http://dx.doi.org/10.1017/S0954102007000909")</f>
        <v>http://dx.doi.org/10.1017/S0954102007000909</v>
      </c>
      <c r="BG650" t="s">
        <v>74</v>
      </c>
      <c r="BH650" t="s">
        <v>74</v>
      </c>
      <c r="BI650">
        <v>11</v>
      </c>
      <c r="BJ650" t="s">
        <v>4134</v>
      </c>
      <c r="BK650" t="s">
        <v>419</v>
      </c>
      <c r="BL650" t="s">
        <v>4135</v>
      </c>
      <c r="BM650" t="s">
        <v>8025</v>
      </c>
      <c r="BN650" t="s">
        <v>74</v>
      </c>
      <c r="BO650" t="s">
        <v>74</v>
      </c>
      <c r="BP650" t="s">
        <v>74</v>
      </c>
      <c r="BQ650" t="s">
        <v>74</v>
      </c>
      <c r="BR650" t="s">
        <v>101</v>
      </c>
      <c r="BS650" t="s">
        <v>8066</v>
      </c>
      <c r="BT650" t="str">
        <f>HYPERLINK("https%3A%2F%2Fwww.webofscience.com%2Fwos%2Fwoscc%2Ffull-record%2FWOS:000254926000004","View Full Record in Web of Science")</f>
        <v>View Full Record in Web of Science</v>
      </c>
    </row>
    <row r="651" spans="1:72" x14ac:dyDescent="0.15">
      <c r="A651" t="s">
        <v>72</v>
      </c>
      <c r="B651" t="s">
        <v>8067</v>
      </c>
      <c r="C651" t="s">
        <v>74</v>
      </c>
      <c r="D651" t="s">
        <v>74</v>
      </c>
      <c r="E651" t="s">
        <v>74</v>
      </c>
      <c r="F651" t="s">
        <v>8068</v>
      </c>
      <c r="G651" t="s">
        <v>74</v>
      </c>
      <c r="H651" t="s">
        <v>74</v>
      </c>
      <c r="I651" t="s">
        <v>8069</v>
      </c>
      <c r="J651" t="s">
        <v>4127</v>
      </c>
      <c r="K651" t="s">
        <v>74</v>
      </c>
      <c r="L651" t="s">
        <v>74</v>
      </c>
      <c r="M651" t="s">
        <v>78</v>
      </c>
      <c r="N651" t="s">
        <v>2737</v>
      </c>
      <c r="O651" t="s">
        <v>74</v>
      </c>
      <c r="P651" t="s">
        <v>74</v>
      </c>
      <c r="Q651" t="s">
        <v>74</v>
      </c>
      <c r="R651" t="s">
        <v>74</v>
      </c>
      <c r="S651" t="s">
        <v>74</v>
      </c>
      <c r="T651" t="s">
        <v>74</v>
      </c>
      <c r="U651" t="s">
        <v>8070</v>
      </c>
      <c r="V651" t="s">
        <v>74</v>
      </c>
      <c r="W651" t="s">
        <v>8071</v>
      </c>
      <c r="X651" t="s">
        <v>8072</v>
      </c>
      <c r="Y651" t="s">
        <v>8073</v>
      </c>
      <c r="Z651" t="s">
        <v>8074</v>
      </c>
      <c r="AA651" t="s">
        <v>74</v>
      </c>
      <c r="AB651" t="s">
        <v>74</v>
      </c>
      <c r="AC651" t="s">
        <v>74</v>
      </c>
      <c r="AD651" t="s">
        <v>74</v>
      </c>
      <c r="AE651" t="s">
        <v>74</v>
      </c>
      <c r="AF651" t="s">
        <v>74</v>
      </c>
      <c r="AG651">
        <v>8</v>
      </c>
      <c r="AH651">
        <v>1</v>
      </c>
      <c r="AI651">
        <v>1</v>
      </c>
      <c r="AJ651">
        <v>0</v>
      </c>
      <c r="AK651">
        <v>1</v>
      </c>
      <c r="AL651" t="s">
        <v>2964</v>
      </c>
      <c r="AM651" t="s">
        <v>2747</v>
      </c>
      <c r="AN651" t="s">
        <v>2965</v>
      </c>
      <c r="AO651" t="s">
        <v>4129</v>
      </c>
      <c r="AP651" t="s">
        <v>4130</v>
      </c>
      <c r="AQ651" t="s">
        <v>74</v>
      </c>
      <c r="AR651" t="s">
        <v>4131</v>
      </c>
      <c r="AS651" t="s">
        <v>4132</v>
      </c>
      <c r="AT651" t="s">
        <v>7937</v>
      </c>
      <c r="AU651">
        <v>2008</v>
      </c>
      <c r="AV651">
        <v>20</v>
      </c>
      <c r="AW651">
        <v>2</v>
      </c>
      <c r="AX651" t="s">
        <v>74</v>
      </c>
      <c r="AY651" t="s">
        <v>74</v>
      </c>
      <c r="AZ651" t="s">
        <v>74</v>
      </c>
      <c r="BA651" t="s">
        <v>74</v>
      </c>
      <c r="BB651">
        <v>147</v>
      </c>
      <c r="BC651">
        <v>148</v>
      </c>
      <c r="BD651" t="s">
        <v>74</v>
      </c>
      <c r="BE651" t="s">
        <v>8075</v>
      </c>
      <c r="BF651" t="str">
        <f>HYPERLINK("http://dx.doi.org/10.1017/S0954102007000818","http://dx.doi.org/10.1017/S0954102007000818")</f>
        <v>http://dx.doi.org/10.1017/S0954102007000818</v>
      </c>
      <c r="BG651" t="s">
        <v>74</v>
      </c>
      <c r="BH651" t="s">
        <v>74</v>
      </c>
      <c r="BI651">
        <v>2</v>
      </c>
      <c r="BJ651" t="s">
        <v>4134</v>
      </c>
      <c r="BK651" t="s">
        <v>419</v>
      </c>
      <c r="BL651" t="s">
        <v>4135</v>
      </c>
      <c r="BM651" t="s">
        <v>8025</v>
      </c>
      <c r="BN651" t="s">
        <v>74</v>
      </c>
      <c r="BO651" t="s">
        <v>3311</v>
      </c>
      <c r="BP651" t="s">
        <v>74</v>
      </c>
      <c r="BQ651" t="s">
        <v>74</v>
      </c>
      <c r="BR651" t="s">
        <v>101</v>
      </c>
      <c r="BS651" t="s">
        <v>8076</v>
      </c>
      <c r="BT651" t="str">
        <f>HYPERLINK("https%3A%2F%2Fwww.webofscience.com%2Fwos%2Fwoscc%2Ffull-record%2FWOS:000254926000005","View Full Record in Web of Science")</f>
        <v>View Full Record in Web of Science</v>
      </c>
    </row>
    <row r="652" spans="1:72" x14ac:dyDescent="0.15">
      <c r="A652" t="s">
        <v>72</v>
      </c>
      <c r="B652" t="s">
        <v>8077</v>
      </c>
      <c r="C652" t="s">
        <v>74</v>
      </c>
      <c r="D652" t="s">
        <v>74</v>
      </c>
      <c r="E652" t="s">
        <v>74</v>
      </c>
      <c r="F652" t="s">
        <v>8078</v>
      </c>
      <c r="G652" t="s">
        <v>74</v>
      </c>
      <c r="H652" t="s">
        <v>74</v>
      </c>
      <c r="I652" t="s">
        <v>8079</v>
      </c>
      <c r="J652" t="s">
        <v>4127</v>
      </c>
      <c r="K652" t="s">
        <v>74</v>
      </c>
      <c r="L652" t="s">
        <v>74</v>
      </c>
      <c r="M652" t="s">
        <v>78</v>
      </c>
      <c r="N652" t="s">
        <v>2958</v>
      </c>
      <c r="O652" t="s">
        <v>74</v>
      </c>
      <c r="P652" t="s">
        <v>74</v>
      </c>
      <c r="Q652" t="s">
        <v>74</v>
      </c>
      <c r="R652" t="s">
        <v>74</v>
      </c>
      <c r="S652" t="s">
        <v>74</v>
      </c>
      <c r="T652" t="s">
        <v>8080</v>
      </c>
      <c r="U652" t="s">
        <v>8081</v>
      </c>
      <c r="V652" t="s">
        <v>8082</v>
      </c>
      <c r="W652" t="s">
        <v>8083</v>
      </c>
      <c r="X652" t="s">
        <v>8084</v>
      </c>
      <c r="Y652" t="s">
        <v>8085</v>
      </c>
      <c r="Z652" t="s">
        <v>8086</v>
      </c>
      <c r="AA652" t="s">
        <v>8087</v>
      </c>
      <c r="AB652" t="s">
        <v>8088</v>
      </c>
      <c r="AC652" t="s">
        <v>74</v>
      </c>
      <c r="AD652" t="s">
        <v>74</v>
      </c>
      <c r="AE652" t="s">
        <v>74</v>
      </c>
      <c r="AF652" t="s">
        <v>74</v>
      </c>
      <c r="AG652">
        <v>102</v>
      </c>
      <c r="AH652">
        <v>14</v>
      </c>
      <c r="AI652">
        <v>15</v>
      </c>
      <c r="AJ652">
        <v>0</v>
      </c>
      <c r="AK652">
        <v>2</v>
      </c>
      <c r="AL652" t="s">
        <v>2964</v>
      </c>
      <c r="AM652" t="s">
        <v>2747</v>
      </c>
      <c r="AN652" t="s">
        <v>2965</v>
      </c>
      <c r="AO652" t="s">
        <v>4129</v>
      </c>
      <c r="AP652" t="s">
        <v>4130</v>
      </c>
      <c r="AQ652" t="s">
        <v>74</v>
      </c>
      <c r="AR652" t="s">
        <v>4131</v>
      </c>
      <c r="AS652" t="s">
        <v>4132</v>
      </c>
      <c r="AT652" t="s">
        <v>7937</v>
      </c>
      <c r="AU652">
        <v>2008</v>
      </c>
      <c r="AV652">
        <v>20</v>
      </c>
      <c r="AW652">
        <v>2</v>
      </c>
      <c r="AX652" t="s">
        <v>74</v>
      </c>
      <c r="AY652" t="s">
        <v>74</v>
      </c>
      <c r="AZ652" t="s">
        <v>74</v>
      </c>
      <c r="BA652" t="s">
        <v>74</v>
      </c>
      <c r="BB652">
        <v>149</v>
      </c>
      <c r="BC652">
        <v>168</v>
      </c>
      <c r="BD652" t="s">
        <v>74</v>
      </c>
      <c r="BE652" t="s">
        <v>8089</v>
      </c>
      <c r="BF652" t="str">
        <f>HYPERLINK("http://dx.doi.org/10.1017/S0954102007000867","http://dx.doi.org/10.1017/S0954102007000867")</f>
        <v>http://dx.doi.org/10.1017/S0954102007000867</v>
      </c>
      <c r="BG652" t="s">
        <v>74</v>
      </c>
      <c r="BH652" t="s">
        <v>74</v>
      </c>
      <c r="BI652">
        <v>20</v>
      </c>
      <c r="BJ652" t="s">
        <v>4134</v>
      </c>
      <c r="BK652" t="s">
        <v>419</v>
      </c>
      <c r="BL652" t="s">
        <v>4135</v>
      </c>
      <c r="BM652" t="s">
        <v>8025</v>
      </c>
      <c r="BN652" t="s">
        <v>74</v>
      </c>
      <c r="BO652" t="s">
        <v>3110</v>
      </c>
      <c r="BP652" t="s">
        <v>74</v>
      </c>
      <c r="BQ652" t="s">
        <v>74</v>
      </c>
      <c r="BR652" t="s">
        <v>101</v>
      </c>
      <c r="BS652" t="s">
        <v>8090</v>
      </c>
      <c r="BT652" t="str">
        <f>HYPERLINK("https%3A%2F%2Fwww.webofscience.com%2Fwos%2Fwoscc%2Ffull-record%2FWOS:000254926000006","View Full Record in Web of Science")</f>
        <v>View Full Record in Web of Science</v>
      </c>
    </row>
    <row r="653" spans="1:72" x14ac:dyDescent="0.15">
      <c r="A653" t="s">
        <v>72</v>
      </c>
      <c r="B653" t="s">
        <v>8091</v>
      </c>
      <c r="C653" t="s">
        <v>74</v>
      </c>
      <c r="D653" t="s">
        <v>74</v>
      </c>
      <c r="E653" t="s">
        <v>74</v>
      </c>
      <c r="F653" t="s">
        <v>8092</v>
      </c>
      <c r="G653" t="s">
        <v>74</v>
      </c>
      <c r="H653" t="s">
        <v>74</v>
      </c>
      <c r="I653" t="s">
        <v>8093</v>
      </c>
      <c r="J653" t="s">
        <v>4127</v>
      </c>
      <c r="K653" t="s">
        <v>74</v>
      </c>
      <c r="L653" t="s">
        <v>74</v>
      </c>
      <c r="M653" t="s">
        <v>78</v>
      </c>
      <c r="N653" t="s">
        <v>2737</v>
      </c>
      <c r="O653" t="s">
        <v>74</v>
      </c>
      <c r="P653" t="s">
        <v>74</v>
      </c>
      <c r="Q653" t="s">
        <v>74</v>
      </c>
      <c r="R653" t="s">
        <v>74</v>
      </c>
      <c r="S653" t="s">
        <v>74</v>
      </c>
      <c r="T653" t="s">
        <v>8094</v>
      </c>
      <c r="U653" t="s">
        <v>8095</v>
      </c>
      <c r="V653" t="s">
        <v>8096</v>
      </c>
      <c r="W653" t="s">
        <v>8097</v>
      </c>
      <c r="X653" t="s">
        <v>8098</v>
      </c>
      <c r="Y653" t="s">
        <v>8099</v>
      </c>
      <c r="Z653" t="s">
        <v>8100</v>
      </c>
      <c r="AA653" t="s">
        <v>8101</v>
      </c>
      <c r="AB653" t="s">
        <v>8102</v>
      </c>
      <c r="AC653" t="s">
        <v>74</v>
      </c>
      <c r="AD653" t="s">
        <v>74</v>
      </c>
      <c r="AE653" t="s">
        <v>74</v>
      </c>
      <c r="AF653" t="s">
        <v>74</v>
      </c>
      <c r="AG653">
        <v>24</v>
      </c>
      <c r="AH653">
        <v>4</v>
      </c>
      <c r="AI653">
        <v>4</v>
      </c>
      <c r="AJ653">
        <v>0</v>
      </c>
      <c r="AK653">
        <v>10</v>
      </c>
      <c r="AL653" t="s">
        <v>2964</v>
      </c>
      <c r="AM653" t="s">
        <v>2747</v>
      </c>
      <c r="AN653" t="s">
        <v>2965</v>
      </c>
      <c r="AO653" t="s">
        <v>4129</v>
      </c>
      <c r="AP653" t="s">
        <v>4130</v>
      </c>
      <c r="AQ653" t="s">
        <v>74</v>
      </c>
      <c r="AR653" t="s">
        <v>4131</v>
      </c>
      <c r="AS653" t="s">
        <v>4132</v>
      </c>
      <c r="AT653" t="s">
        <v>7937</v>
      </c>
      <c r="AU653">
        <v>2008</v>
      </c>
      <c r="AV653">
        <v>20</v>
      </c>
      <c r="AW653">
        <v>2</v>
      </c>
      <c r="AX653" t="s">
        <v>74</v>
      </c>
      <c r="AY653" t="s">
        <v>74</v>
      </c>
      <c r="AZ653" t="s">
        <v>74</v>
      </c>
      <c r="BA653" t="s">
        <v>74</v>
      </c>
      <c r="BB653">
        <v>169</v>
      </c>
      <c r="BC653">
        <v>172</v>
      </c>
      <c r="BD653" t="s">
        <v>74</v>
      </c>
      <c r="BE653" t="s">
        <v>8103</v>
      </c>
      <c r="BF653" t="str">
        <f>HYPERLINK("http://dx.doi.org/10.1017/S0954102007000880","http://dx.doi.org/10.1017/S0954102007000880")</f>
        <v>http://dx.doi.org/10.1017/S0954102007000880</v>
      </c>
      <c r="BG653" t="s">
        <v>74</v>
      </c>
      <c r="BH653" t="s">
        <v>74</v>
      </c>
      <c r="BI653">
        <v>4</v>
      </c>
      <c r="BJ653" t="s">
        <v>4134</v>
      </c>
      <c r="BK653" t="s">
        <v>419</v>
      </c>
      <c r="BL653" t="s">
        <v>4135</v>
      </c>
      <c r="BM653" t="s">
        <v>8025</v>
      </c>
      <c r="BN653" t="s">
        <v>74</v>
      </c>
      <c r="BO653" t="s">
        <v>74</v>
      </c>
      <c r="BP653" t="s">
        <v>74</v>
      </c>
      <c r="BQ653" t="s">
        <v>74</v>
      </c>
      <c r="BR653" t="s">
        <v>101</v>
      </c>
      <c r="BS653" t="s">
        <v>8104</v>
      </c>
      <c r="BT653" t="str">
        <f>HYPERLINK("https%3A%2F%2Fwww.webofscience.com%2Fwos%2Fwoscc%2Ffull-record%2FWOS:000254926000007","View Full Record in Web of Science")</f>
        <v>View Full Record in Web of Science</v>
      </c>
    </row>
    <row r="654" spans="1:72" x14ac:dyDescent="0.15">
      <c r="A654" t="s">
        <v>72</v>
      </c>
      <c r="B654" t="s">
        <v>8105</v>
      </c>
      <c r="C654" t="s">
        <v>74</v>
      </c>
      <c r="D654" t="s">
        <v>74</v>
      </c>
      <c r="E654" t="s">
        <v>74</v>
      </c>
      <c r="F654" t="s">
        <v>8106</v>
      </c>
      <c r="G654" t="s">
        <v>74</v>
      </c>
      <c r="H654" t="s">
        <v>74</v>
      </c>
      <c r="I654" t="s">
        <v>8107</v>
      </c>
      <c r="J654" t="s">
        <v>4127</v>
      </c>
      <c r="K654" t="s">
        <v>74</v>
      </c>
      <c r="L654" t="s">
        <v>74</v>
      </c>
      <c r="M654" t="s">
        <v>78</v>
      </c>
      <c r="N654" t="s">
        <v>2737</v>
      </c>
      <c r="O654" t="s">
        <v>74</v>
      </c>
      <c r="P654" t="s">
        <v>74</v>
      </c>
      <c r="Q654" t="s">
        <v>74</v>
      </c>
      <c r="R654" t="s">
        <v>74</v>
      </c>
      <c r="S654" t="s">
        <v>74</v>
      </c>
      <c r="T654" t="s">
        <v>8108</v>
      </c>
      <c r="U654" t="s">
        <v>8109</v>
      </c>
      <c r="V654" t="s">
        <v>8110</v>
      </c>
      <c r="W654" t="s">
        <v>8111</v>
      </c>
      <c r="X654" t="s">
        <v>8112</v>
      </c>
      <c r="Y654" t="s">
        <v>8113</v>
      </c>
      <c r="Z654" t="s">
        <v>8114</v>
      </c>
      <c r="AA654" t="s">
        <v>8115</v>
      </c>
      <c r="AB654" t="s">
        <v>8116</v>
      </c>
      <c r="AC654" t="s">
        <v>74</v>
      </c>
      <c r="AD654" t="s">
        <v>74</v>
      </c>
      <c r="AE654" t="s">
        <v>74</v>
      </c>
      <c r="AF654" t="s">
        <v>74</v>
      </c>
      <c r="AG654">
        <v>78</v>
      </c>
      <c r="AH654">
        <v>3</v>
      </c>
      <c r="AI654">
        <v>3</v>
      </c>
      <c r="AJ654">
        <v>0</v>
      </c>
      <c r="AK654">
        <v>3</v>
      </c>
      <c r="AL654" t="s">
        <v>2964</v>
      </c>
      <c r="AM654" t="s">
        <v>2747</v>
      </c>
      <c r="AN654" t="s">
        <v>2965</v>
      </c>
      <c r="AO654" t="s">
        <v>4129</v>
      </c>
      <c r="AP654" t="s">
        <v>4130</v>
      </c>
      <c r="AQ654" t="s">
        <v>74</v>
      </c>
      <c r="AR654" t="s">
        <v>4131</v>
      </c>
      <c r="AS654" t="s">
        <v>4132</v>
      </c>
      <c r="AT654" t="s">
        <v>7937</v>
      </c>
      <c r="AU654">
        <v>2008</v>
      </c>
      <c r="AV654">
        <v>20</v>
      </c>
      <c r="AW654">
        <v>2</v>
      </c>
      <c r="AX654" t="s">
        <v>74</v>
      </c>
      <c r="AY654" t="s">
        <v>74</v>
      </c>
      <c r="AZ654" t="s">
        <v>74</v>
      </c>
      <c r="BA654" t="s">
        <v>74</v>
      </c>
      <c r="BB654">
        <v>173</v>
      </c>
      <c r="BC654">
        <v>184</v>
      </c>
      <c r="BD654" t="s">
        <v>74</v>
      </c>
      <c r="BE654" t="s">
        <v>8117</v>
      </c>
      <c r="BF654" t="str">
        <f>HYPERLINK("http://dx.doi.org/10.1017/S0954102007000892","http://dx.doi.org/10.1017/S0954102007000892")</f>
        <v>http://dx.doi.org/10.1017/S0954102007000892</v>
      </c>
      <c r="BG654" t="s">
        <v>74</v>
      </c>
      <c r="BH654" t="s">
        <v>74</v>
      </c>
      <c r="BI654">
        <v>12</v>
      </c>
      <c r="BJ654" t="s">
        <v>4134</v>
      </c>
      <c r="BK654" t="s">
        <v>419</v>
      </c>
      <c r="BL654" t="s">
        <v>4135</v>
      </c>
      <c r="BM654" t="s">
        <v>8025</v>
      </c>
      <c r="BN654" t="s">
        <v>74</v>
      </c>
      <c r="BO654" t="s">
        <v>74</v>
      </c>
      <c r="BP654" t="s">
        <v>74</v>
      </c>
      <c r="BQ654" t="s">
        <v>74</v>
      </c>
      <c r="BR654" t="s">
        <v>101</v>
      </c>
      <c r="BS654" t="s">
        <v>8118</v>
      </c>
      <c r="BT654" t="str">
        <f>HYPERLINK("https%3A%2F%2Fwww.webofscience.com%2Fwos%2Fwoscc%2Ffull-record%2FWOS:000254926000008","View Full Record in Web of Science")</f>
        <v>View Full Record in Web of Science</v>
      </c>
    </row>
    <row r="655" spans="1:72" x14ac:dyDescent="0.15">
      <c r="A655" t="s">
        <v>72</v>
      </c>
      <c r="B655" t="s">
        <v>8119</v>
      </c>
      <c r="C655" t="s">
        <v>74</v>
      </c>
      <c r="D655" t="s">
        <v>74</v>
      </c>
      <c r="E655" t="s">
        <v>74</v>
      </c>
      <c r="F655" t="s">
        <v>8120</v>
      </c>
      <c r="G655" t="s">
        <v>74</v>
      </c>
      <c r="H655" t="s">
        <v>74</v>
      </c>
      <c r="I655" t="s">
        <v>8121</v>
      </c>
      <c r="J655" t="s">
        <v>4127</v>
      </c>
      <c r="K655" t="s">
        <v>74</v>
      </c>
      <c r="L655" t="s">
        <v>74</v>
      </c>
      <c r="M655" t="s">
        <v>78</v>
      </c>
      <c r="N655" t="s">
        <v>2737</v>
      </c>
      <c r="O655" t="s">
        <v>74</v>
      </c>
      <c r="P655" t="s">
        <v>74</v>
      </c>
      <c r="Q655" t="s">
        <v>74</v>
      </c>
      <c r="R655" t="s">
        <v>74</v>
      </c>
      <c r="S655" t="s">
        <v>74</v>
      </c>
      <c r="T655" t="s">
        <v>8122</v>
      </c>
      <c r="U655" t="s">
        <v>8123</v>
      </c>
      <c r="V655" t="s">
        <v>8124</v>
      </c>
      <c r="W655" t="s">
        <v>8125</v>
      </c>
      <c r="X655" t="s">
        <v>8126</v>
      </c>
      <c r="Y655" t="s">
        <v>8127</v>
      </c>
      <c r="Z655" t="s">
        <v>8128</v>
      </c>
      <c r="AA655" t="s">
        <v>8129</v>
      </c>
      <c r="AB655" t="s">
        <v>8130</v>
      </c>
      <c r="AC655" t="s">
        <v>74</v>
      </c>
      <c r="AD655" t="s">
        <v>74</v>
      </c>
      <c r="AE655" t="s">
        <v>74</v>
      </c>
      <c r="AF655" t="s">
        <v>74</v>
      </c>
      <c r="AG655">
        <v>48</v>
      </c>
      <c r="AH655">
        <v>20</v>
      </c>
      <c r="AI655">
        <v>22</v>
      </c>
      <c r="AJ655">
        <v>0</v>
      </c>
      <c r="AK655">
        <v>8</v>
      </c>
      <c r="AL655" t="s">
        <v>2964</v>
      </c>
      <c r="AM655" t="s">
        <v>2747</v>
      </c>
      <c r="AN655" t="s">
        <v>2965</v>
      </c>
      <c r="AO655" t="s">
        <v>4129</v>
      </c>
      <c r="AP655" t="s">
        <v>4130</v>
      </c>
      <c r="AQ655" t="s">
        <v>74</v>
      </c>
      <c r="AR655" t="s">
        <v>4131</v>
      </c>
      <c r="AS655" t="s">
        <v>4132</v>
      </c>
      <c r="AT655" t="s">
        <v>7937</v>
      </c>
      <c r="AU655">
        <v>2008</v>
      </c>
      <c r="AV655">
        <v>20</v>
      </c>
      <c r="AW655">
        <v>2</v>
      </c>
      <c r="AX655" t="s">
        <v>74</v>
      </c>
      <c r="AY655" t="s">
        <v>74</v>
      </c>
      <c r="AZ655" t="s">
        <v>74</v>
      </c>
      <c r="BA655" t="s">
        <v>74</v>
      </c>
      <c r="BB655">
        <v>185</v>
      </c>
      <c r="BC655">
        <v>196</v>
      </c>
      <c r="BD655" t="s">
        <v>74</v>
      </c>
      <c r="BE655" t="s">
        <v>8131</v>
      </c>
      <c r="BF655" t="str">
        <f>HYPERLINK("http://dx.doi.org/10.1017/S095410200800093X","http://dx.doi.org/10.1017/S095410200800093X")</f>
        <v>http://dx.doi.org/10.1017/S095410200800093X</v>
      </c>
      <c r="BG655" t="s">
        <v>74</v>
      </c>
      <c r="BH655" t="s">
        <v>74</v>
      </c>
      <c r="BI655">
        <v>12</v>
      </c>
      <c r="BJ655" t="s">
        <v>4134</v>
      </c>
      <c r="BK655" t="s">
        <v>419</v>
      </c>
      <c r="BL655" t="s">
        <v>4135</v>
      </c>
      <c r="BM655" t="s">
        <v>8025</v>
      </c>
      <c r="BN655" t="s">
        <v>74</v>
      </c>
      <c r="BO655" t="s">
        <v>74</v>
      </c>
      <c r="BP655" t="s">
        <v>74</v>
      </c>
      <c r="BQ655" t="s">
        <v>74</v>
      </c>
      <c r="BR655" t="s">
        <v>101</v>
      </c>
      <c r="BS655" t="s">
        <v>8132</v>
      </c>
      <c r="BT655" t="str">
        <f>HYPERLINK("https%3A%2F%2Fwww.webofscience.com%2Fwos%2Fwoscc%2Ffull-record%2FWOS:000254926000009","View Full Record in Web of Science")</f>
        <v>View Full Record in Web of Science</v>
      </c>
    </row>
    <row r="656" spans="1:72" x14ac:dyDescent="0.15">
      <c r="A656" t="s">
        <v>72</v>
      </c>
      <c r="B656" t="s">
        <v>8133</v>
      </c>
      <c r="C656" t="s">
        <v>74</v>
      </c>
      <c r="D656" t="s">
        <v>74</v>
      </c>
      <c r="E656" t="s">
        <v>74</v>
      </c>
      <c r="F656" t="s">
        <v>8134</v>
      </c>
      <c r="G656" t="s">
        <v>74</v>
      </c>
      <c r="H656" t="s">
        <v>74</v>
      </c>
      <c r="I656" t="s">
        <v>8135</v>
      </c>
      <c r="J656" t="s">
        <v>4127</v>
      </c>
      <c r="K656" t="s">
        <v>74</v>
      </c>
      <c r="L656" t="s">
        <v>74</v>
      </c>
      <c r="M656" t="s">
        <v>78</v>
      </c>
      <c r="N656" t="s">
        <v>2737</v>
      </c>
      <c r="O656" t="s">
        <v>74</v>
      </c>
      <c r="P656" t="s">
        <v>74</v>
      </c>
      <c r="Q656" t="s">
        <v>74</v>
      </c>
      <c r="R656" t="s">
        <v>74</v>
      </c>
      <c r="S656" t="s">
        <v>74</v>
      </c>
      <c r="T656" t="s">
        <v>8136</v>
      </c>
      <c r="U656" t="s">
        <v>8137</v>
      </c>
      <c r="V656" t="s">
        <v>8138</v>
      </c>
      <c r="W656" t="s">
        <v>8139</v>
      </c>
      <c r="X656" t="s">
        <v>8140</v>
      </c>
      <c r="Y656" t="s">
        <v>8141</v>
      </c>
      <c r="Z656" t="s">
        <v>8142</v>
      </c>
      <c r="AA656" t="s">
        <v>8143</v>
      </c>
      <c r="AB656" t="s">
        <v>8144</v>
      </c>
      <c r="AC656" t="s">
        <v>74</v>
      </c>
      <c r="AD656" t="s">
        <v>74</v>
      </c>
      <c r="AE656" t="s">
        <v>74</v>
      </c>
      <c r="AF656" t="s">
        <v>74</v>
      </c>
      <c r="AG656">
        <v>40</v>
      </c>
      <c r="AH656">
        <v>13</v>
      </c>
      <c r="AI656">
        <v>22</v>
      </c>
      <c r="AJ656">
        <v>0</v>
      </c>
      <c r="AK656">
        <v>8</v>
      </c>
      <c r="AL656" t="s">
        <v>2964</v>
      </c>
      <c r="AM656" t="s">
        <v>2747</v>
      </c>
      <c r="AN656" t="s">
        <v>2965</v>
      </c>
      <c r="AO656" t="s">
        <v>4129</v>
      </c>
      <c r="AP656" t="s">
        <v>4130</v>
      </c>
      <c r="AQ656" t="s">
        <v>74</v>
      </c>
      <c r="AR656" t="s">
        <v>4131</v>
      </c>
      <c r="AS656" t="s">
        <v>4132</v>
      </c>
      <c r="AT656" t="s">
        <v>7937</v>
      </c>
      <c r="AU656">
        <v>2008</v>
      </c>
      <c r="AV656">
        <v>20</v>
      </c>
      <c r="AW656">
        <v>2</v>
      </c>
      <c r="AX656" t="s">
        <v>74</v>
      </c>
      <c r="AY656" t="s">
        <v>74</v>
      </c>
      <c r="AZ656" t="s">
        <v>74</v>
      </c>
      <c r="BA656" t="s">
        <v>74</v>
      </c>
      <c r="BB656">
        <v>197</v>
      </c>
      <c r="BC656">
        <v>203</v>
      </c>
      <c r="BD656" t="s">
        <v>74</v>
      </c>
      <c r="BE656" t="s">
        <v>8145</v>
      </c>
      <c r="BF656" t="str">
        <f>HYPERLINK("http://dx.doi.org/10.1017/S0954102007000910","http://dx.doi.org/10.1017/S0954102007000910")</f>
        <v>http://dx.doi.org/10.1017/S0954102007000910</v>
      </c>
      <c r="BG656" t="s">
        <v>74</v>
      </c>
      <c r="BH656" t="s">
        <v>74</v>
      </c>
      <c r="BI656">
        <v>7</v>
      </c>
      <c r="BJ656" t="s">
        <v>4134</v>
      </c>
      <c r="BK656" t="s">
        <v>419</v>
      </c>
      <c r="BL656" t="s">
        <v>4135</v>
      </c>
      <c r="BM656" t="s">
        <v>8025</v>
      </c>
      <c r="BN656" t="s">
        <v>74</v>
      </c>
      <c r="BO656" t="s">
        <v>74</v>
      </c>
      <c r="BP656" t="s">
        <v>74</v>
      </c>
      <c r="BQ656" t="s">
        <v>74</v>
      </c>
      <c r="BR656" t="s">
        <v>101</v>
      </c>
      <c r="BS656" t="s">
        <v>8146</v>
      </c>
      <c r="BT656" t="str">
        <f>HYPERLINK("https%3A%2F%2Fwww.webofscience.com%2Fwos%2Fwoscc%2Ffull-record%2FWOS:000254926000010","View Full Record in Web of Science")</f>
        <v>View Full Record in Web of Science</v>
      </c>
    </row>
    <row r="657" spans="1:72" x14ac:dyDescent="0.15">
      <c r="A657" t="s">
        <v>72</v>
      </c>
      <c r="B657" t="s">
        <v>8147</v>
      </c>
      <c r="C657" t="s">
        <v>74</v>
      </c>
      <c r="D657" t="s">
        <v>74</v>
      </c>
      <c r="E657" t="s">
        <v>74</v>
      </c>
      <c r="F657" t="s">
        <v>8148</v>
      </c>
      <c r="G657" t="s">
        <v>74</v>
      </c>
      <c r="H657" t="s">
        <v>74</v>
      </c>
      <c r="I657" t="s">
        <v>8149</v>
      </c>
      <c r="J657" t="s">
        <v>8150</v>
      </c>
      <c r="K657" t="s">
        <v>74</v>
      </c>
      <c r="L657" t="s">
        <v>74</v>
      </c>
      <c r="M657" t="s">
        <v>78</v>
      </c>
      <c r="N657" t="s">
        <v>2989</v>
      </c>
      <c r="O657" t="s">
        <v>74</v>
      </c>
      <c r="P657" t="s">
        <v>74</v>
      </c>
      <c r="Q657" t="s">
        <v>74</v>
      </c>
      <c r="R657" t="s">
        <v>74</v>
      </c>
      <c r="S657" t="s">
        <v>74</v>
      </c>
      <c r="T657" t="s">
        <v>74</v>
      </c>
      <c r="U657" t="s">
        <v>74</v>
      </c>
      <c r="V657" t="s">
        <v>74</v>
      </c>
      <c r="W657" t="s">
        <v>8151</v>
      </c>
      <c r="X657" t="s">
        <v>8152</v>
      </c>
      <c r="Y657" t="s">
        <v>8153</v>
      </c>
      <c r="Z657" t="s">
        <v>8154</v>
      </c>
      <c r="AA657" t="s">
        <v>74</v>
      </c>
      <c r="AB657" t="s">
        <v>74</v>
      </c>
      <c r="AC657" t="s">
        <v>74</v>
      </c>
      <c r="AD657" t="s">
        <v>74</v>
      </c>
      <c r="AE657" t="s">
        <v>74</v>
      </c>
      <c r="AF657" t="s">
        <v>74</v>
      </c>
      <c r="AG657">
        <v>0</v>
      </c>
      <c r="AH657">
        <v>3</v>
      </c>
      <c r="AI657">
        <v>4</v>
      </c>
      <c r="AJ657">
        <v>0</v>
      </c>
      <c r="AK657">
        <v>4</v>
      </c>
      <c r="AL657" t="s">
        <v>3007</v>
      </c>
      <c r="AM657" t="s">
        <v>3008</v>
      </c>
      <c r="AN657" t="s">
        <v>3009</v>
      </c>
      <c r="AO657" t="s">
        <v>8155</v>
      </c>
      <c r="AP657" t="s">
        <v>74</v>
      </c>
      <c r="AQ657" t="s">
        <v>74</v>
      </c>
      <c r="AR657" t="s">
        <v>8156</v>
      </c>
      <c r="AS657" t="s">
        <v>8157</v>
      </c>
      <c r="AT657" t="s">
        <v>7937</v>
      </c>
      <c r="AU657">
        <v>2008</v>
      </c>
      <c r="AV657">
        <v>42</v>
      </c>
      <c r="AW657">
        <v>12</v>
      </c>
      <c r="AX657" t="s">
        <v>74</v>
      </c>
      <c r="AY657" t="s">
        <v>74</v>
      </c>
      <c r="AZ657" t="s">
        <v>74</v>
      </c>
      <c r="BA657" t="s">
        <v>74</v>
      </c>
      <c r="BB657">
        <v>2747</v>
      </c>
      <c r="BC657">
        <v>2748</v>
      </c>
      <c r="BD657" t="s">
        <v>74</v>
      </c>
      <c r="BE657" t="s">
        <v>8158</v>
      </c>
      <c r="BF657" t="str">
        <f>HYPERLINK("http://dx.doi.org/10.1016/j.atmosenv.2007.09.074","http://dx.doi.org/10.1016/j.atmosenv.2007.09.074")</f>
        <v>http://dx.doi.org/10.1016/j.atmosenv.2007.09.074</v>
      </c>
      <c r="BG657" t="s">
        <v>74</v>
      </c>
      <c r="BH657" t="s">
        <v>74</v>
      </c>
      <c r="BI657">
        <v>2</v>
      </c>
      <c r="BJ657" t="s">
        <v>4455</v>
      </c>
      <c r="BK657" t="s">
        <v>419</v>
      </c>
      <c r="BL657" t="s">
        <v>4456</v>
      </c>
      <c r="BM657" t="s">
        <v>8159</v>
      </c>
      <c r="BN657" t="s">
        <v>74</v>
      </c>
      <c r="BO657" t="s">
        <v>74</v>
      </c>
      <c r="BP657" t="s">
        <v>74</v>
      </c>
      <c r="BQ657" t="s">
        <v>74</v>
      </c>
      <c r="BR657" t="s">
        <v>101</v>
      </c>
      <c r="BS657" t="s">
        <v>8160</v>
      </c>
      <c r="BT657" t="str">
        <f>HYPERLINK("https%3A%2F%2Fwww.webofscience.com%2Fwos%2Fwoscc%2Ffull-record%2FWOS:000256845700001","View Full Record in Web of Science")</f>
        <v>View Full Record in Web of Science</v>
      </c>
    </row>
    <row r="658" spans="1:72" x14ac:dyDescent="0.15">
      <c r="A658" t="s">
        <v>72</v>
      </c>
      <c r="B658" t="s">
        <v>8161</v>
      </c>
      <c r="C658" t="s">
        <v>74</v>
      </c>
      <c r="D658" t="s">
        <v>74</v>
      </c>
      <c r="E658" t="s">
        <v>74</v>
      </c>
      <c r="F658" t="s">
        <v>8162</v>
      </c>
      <c r="G658" t="s">
        <v>74</v>
      </c>
      <c r="H658" t="s">
        <v>74</v>
      </c>
      <c r="I658" t="s">
        <v>8163</v>
      </c>
      <c r="J658" t="s">
        <v>8150</v>
      </c>
      <c r="K658" t="s">
        <v>74</v>
      </c>
      <c r="L658" t="s">
        <v>74</v>
      </c>
      <c r="M658" t="s">
        <v>78</v>
      </c>
      <c r="N658" t="s">
        <v>2989</v>
      </c>
      <c r="O658" t="s">
        <v>74</v>
      </c>
      <c r="P658" t="s">
        <v>74</v>
      </c>
      <c r="Q658" t="s">
        <v>74</v>
      </c>
      <c r="R658" t="s">
        <v>74</v>
      </c>
      <c r="S658" t="s">
        <v>74</v>
      </c>
      <c r="T658" t="s">
        <v>8164</v>
      </c>
      <c r="U658" t="s">
        <v>8165</v>
      </c>
      <c r="V658" t="s">
        <v>8166</v>
      </c>
      <c r="W658" t="s">
        <v>8167</v>
      </c>
      <c r="X658" t="s">
        <v>8168</v>
      </c>
      <c r="Y658" t="s">
        <v>8169</v>
      </c>
      <c r="Z658" t="s">
        <v>8170</v>
      </c>
      <c r="AA658" t="s">
        <v>8171</v>
      </c>
      <c r="AB658" t="s">
        <v>8172</v>
      </c>
      <c r="AC658" t="s">
        <v>8173</v>
      </c>
      <c r="AD658" t="s">
        <v>3031</v>
      </c>
      <c r="AE658" t="s">
        <v>74</v>
      </c>
      <c r="AF658" t="s">
        <v>74</v>
      </c>
      <c r="AG658">
        <v>28</v>
      </c>
      <c r="AH658">
        <v>51</v>
      </c>
      <c r="AI658">
        <v>53</v>
      </c>
      <c r="AJ658">
        <v>1</v>
      </c>
      <c r="AK658">
        <v>12</v>
      </c>
      <c r="AL658" t="s">
        <v>3007</v>
      </c>
      <c r="AM658" t="s">
        <v>3008</v>
      </c>
      <c r="AN658" t="s">
        <v>3009</v>
      </c>
      <c r="AO658" t="s">
        <v>8155</v>
      </c>
      <c r="AP658" t="s">
        <v>8174</v>
      </c>
      <c r="AQ658" t="s">
        <v>74</v>
      </c>
      <c r="AR658" t="s">
        <v>8156</v>
      </c>
      <c r="AS658" t="s">
        <v>8157</v>
      </c>
      <c r="AT658" t="s">
        <v>7937</v>
      </c>
      <c r="AU658">
        <v>2008</v>
      </c>
      <c r="AV658">
        <v>42</v>
      </c>
      <c r="AW658">
        <v>12</v>
      </c>
      <c r="AX658" t="s">
        <v>74</v>
      </c>
      <c r="AY658" t="s">
        <v>74</v>
      </c>
      <c r="AZ658" t="s">
        <v>74</v>
      </c>
      <c r="BA658" t="s">
        <v>74</v>
      </c>
      <c r="BB658">
        <v>2749</v>
      </c>
      <c r="BC658">
        <v>2761</v>
      </c>
      <c r="BD658" t="s">
        <v>74</v>
      </c>
      <c r="BE658" t="s">
        <v>8175</v>
      </c>
      <c r="BF658" t="str">
        <f>HYPERLINK("http://dx.doi.org/10.1016/j.atmosenv.2007.04.013","http://dx.doi.org/10.1016/j.atmosenv.2007.04.013")</f>
        <v>http://dx.doi.org/10.1016/j.atmosenv.2007.04.013</v>
      </c>
      <c r="BG658" t="s">
        <v>74</v>
      </c>
      <c r="BH658" t="s">
        <v>74</v>
      </c>
      <c r="BI658">
        <v>13</v>
      </c>
      <c r="BJ658" t="s">
        <v>4455</v>
      </c>
      <c r="BK658" t="s">
        <v>419</v>
      </c>
      <c r="BL658" t="s">
        <v>4456</v>
      </c>
      <c r="BM658" t="s">
        <v>8159</v>
      </c>
      <c r="BN658" t="s">
        <v>74</v>
      </c>
      <c r="BO658" t="s">
        <v>3311</v>
      </c>
      <c r="BP658" t="s">
        <v>74</v>
      </c>
      <c r="BQ658" t="s">
        <v>74</v>
      </c>
      <c r="BR658" t="s">
        <v>101</v>
      </c>
      <c r="BS658" t="s">
        <v>8176</v>
      </c>
      <c r="BT658" t="str">
        <f>HYPERLINK("https%3A%2F%2Fwww.webofscience.com%2Fwos%2Fwoscc%2Ffull-record%2FWOS:000256845700002","View Full Record in Web of Science")</f>
        <v>View Full Record in Web of Science</v>
      </c>
    </row>
    <row r="659" spans="1:72" x14ac:dyDescent="0.15">
      <c r="A659" t="s">
        <v>72</v>
      </c>
      <c r="B659" t="s">
        <v>8177</v>
      </c>
      <c r="C659" t="s">
        <v>74</v>
      </c>
      <c r="D659" t="s">
        <v>74</v>
      </c>
      <c r="E659" t="s">
        <v>74</v>
      </c>
      <c r="F659" t="s">
        <v>8178</v>
      </c>
      <c r="G659" t="s">
        <v>74</v>
      </c>
      <c r="H659" t="s">
        <v>74</v>
      </c>
      <c r="I659" t="s">
        <v>8179</v>
      </c>
      <c r="J659" t="s">
        <v>8150</v>
      </c>
      <c r="K659" t="s">
        <v>74</v>
      </c>
      <c r="L659" t="s">
        <v>74</v>
      </c>
      <c r="M659" t="s">
        <v>78</v>
      </c>
      <c r="N659" t="s">
        <v>2737</v>
      </c>
      <c r="O659" t="s">
        <v>74</v>
      </c>
      <c r="P659" t="s">
        <v>74</v>
      </c>
      <c r="Q659" t="s">
        <v>74</v>
      </c>
      <c r="R659" t="s">
        <v>74</v>
      </c>
      <c r="S659" t="s">
        <v>74</v>
      </c>
      <c r="T659" t="s">
        <v>8180</v>
      </c>
      <c r="U659" t="s">
        <v>8181</v>
      </c>
      <c r="V659" t="s">
        <v>8182</v>
      </c>
      <c r="W659" t="s">
        <v>8183</v>
      </c>
      <c r="X659" t="s">
        <v>8184</v>
      </c>
      <c r="Y659" t="s">
        <v>8185</v>
      </c>
      <c r="Z659" t="s">
        <v>8186</v>
      </c>
      <c r="AA659" t="s">
        <v>8187</v>
      </c>
      <c r="AB659" t="s">
        <v>8188</v>
      </c>
      <c r="AC659" t="s">
        <v>74</v>
      </c>
      <c r="AD659" t="s">
        <v>74</v>
      </c>
      <c r="AE659" t="s">
        <v>74</v>
      </c>
      <c r="AF659" t="s">
        <v>74</v>
      </c>
      <c r="AG659">
        <v>23</v>
      </c>
      <c r="AH659">
        <v>55</v>
      </c>
      <c r="AI659">
        <v>59</v>
      </c>
      <c r="AJ659">
        <v>0</v>
      </c>
      <c r="AK659">
        <v>12</v>
      </c>
      <c r="AL659" t="s">
        <v>3007</v>
      </c>
      <c r="AM659" t="s">
        <v>3008</v>
      </c>
      <c r="AN659" t="s">
        <v>3009</v>
      </c>
      <c r="AO659" t="s">
        <v>8155</v>
      </c>
      <c r="AP659" t="s">
        <v>74</v>
      </c>
      <c r="AQ659" t="s">
        <v>74</v>
      </c>
      <c r="AR659" t="s">
        <v>8156</v>
      </c>
      <c r="AS659" t="s">
        <v>8157</v>
      </c>
      <c r="AT659" t="s">
        <v>7937</v>
      </c>
      <c r="AU659">
        <v>2008</v>
      </c>
      <c r="AV659">
        <v>42</v>
      </c>
      <c r="AW659">
        <v>12</v>
      </c>
      <c r="AX659" t="s">
        <v>74</v>
      </c>
      <c r="AY659" t="s">
        <v>74</v>
      </c>
      <c r="AZ659" t="s">
        <v>74</v>
      </c>
      <c r="BA659" t="s">
        <v>74</v>
      </c>
      <c r="BB659">
        <v>2762</v>
      </c>
      <c r="BC659">
        <v>2779</v>
      </c>
      <c r="BD659" t="s">
        <v>74</v>
      </c>
      <c r="BE659" t="s">
        <v>8189</v>
      </c>
      <c r="BF659" t="str">
        <f>HYPERLINK("http://dx.doi.org/10.1016/j.atmosenv.2007.01.033","http://dx.doi.org/10.1016/j.atmosenv.2007.01.033")</f>
        <v>http://dx.doi.org/10.1016/j.atmosenv.2007.01.033</v>
      </c>
      <c r="BG659" t="s">
        <v>74</v>
      </c>
      <c r="BH659" t="s">
        <v>74</v>
      </c>
      <c r="BI659">
        <v>18</v>
      </c>
      <c r="BJ659" t="s">
        <v>4455</v>
      </c>
      <c r="BK659" t="s">
        <v>419</v>
      </c>
      <c r="BL659" t="s">
        <v>4456</v>
      </c>
      <c r="BM659" t="s">
        <v>8159</v>
      </c>
      <c r="BN659" t="s">
        <v>74</v>
      </c>
      <c r="BO659" t="s">
        <v>74</v>
      </c>
      <c r="BP659" t="s">
        <v>74</v>
      </c>
      <c r="BQ659" t="s">
        <v>74</v>
      </c>
      <c r="BR659" t="s">
        <v>101</v>
      </c>
      <c r="BS659" t="s">
        <v>8190</v>
      </c>
      <c r="BT659" t="str">
        <f>HYPERLINK("https%3A%2F%2Fwww.webofscience.com%2Fwos%2Fwoscc%2Ffull-record%2FWOS:000256845700003","View Full Record in Web of Science")</f>
        <v>View Full Record in Web of Science</v>
      </c>
    </row>
    <row r="660" spans="1:72" x14ac:dyDescent="0.15">
      <c r="A660" t="s">
        <v>72</v>
      </c>
      <c r="B660" t="s">
        <v>8191</v>
      </c>
      <c r="C660" t="s">
        <v>74</v>
      </c>
      <c r="D660" t="s">
        <v>74</v>
      </c>
      <c r="E660" t="s">
        <v>74</v>
      </c>
      <c r="F660" t="s">
        <v>8192</v>
      </c>
      <c r="G660" t="s">
        <v>74</v>
      </c>
      <c r="H660" t="s">
        <v>74</v>
      </c>
      <c r="I660" t="s">
        <v>8193</v>
      </c>
      <c r="J660" t="s">
        <v>8150</v>
      </c>
      <c r="K660" t="s">
        <v>74</v>
      </c>
      <c r="L660" t="s">
        <v>74</v>
      </c>
      <c r="M660" t="s">
        <v>78</v>
      </c>
      <c r="N660" t="s">
        <v>2737</v>
      </c>
      <c r="O660" t="s">
        <v>74</v>
      </c>
      <c r="P660" t="s">
        <v>74</v>
      </c>
      <c r="Q660" t="s">
        <v>74</v>
      </c>
      <c r="R660" t="s">
        <v>74</v>
      </c>
      <c r="S660" t="s">
        <v>74</v>
      </c>
      <c r="T660" t="s">
        <v>8194</v>
      </c>
      <c r="U660" t="s">
        <v>8195</v>
      </c>
      <c r="V660" t="s">
        <v>8196</v>
      </c>
      <c r="W660" t="s">
        <v>8197</v>
      </c>
      <c r="X660" t="s">
        <v>8198</v>
      </c>
      <c r="Y660" t="s">
        <v>8199</v>
      </c>
      <c r="Z660" t="s">
        <v>8200</v>
      </c>
      <c r="AA660" t="s">
        <v>8201</v>
      </c>
      <c r="AB660" t="s">
        <v>74</v>
      </c>
      <c r="AC660" t="s">
        <v>74</v>
      </c>
      <c r="AD660" t="s">
        <v>74</v>
      </c>
      <c r="AE660" t="s">
        <v>74</v>
      </c>
      <c r="AF660" t="s">
        <v>74</v>
      </c>
      <c r="AG660">
        <v>13</v>
      </c>
      <c r="AH660">
        <v>18</v>
      </c>
      <c r="AI660">
        <v>20</v>
      </c>
      <c r="AJ660">
        <v>0</v>
      </c>
      <c r="AK660">
        <v>11</v>
      </c>
      <c r="AL660" t="s">
        <v>3007</v>
      </c>
      <c r="AM660" t="s">
        <v>3008</v>
      </c>
      <c r="AN660" t="s">
        <v>3009</v>
      </c>
      <c r="AO660" t="s">
        <v>8155</v>
      </c>
      <c r="AP660" t="s">
        <v>74</v>
      </c>
      <c r="AQ660" t="s">
        <v>74</v>
      </c>
      <c r="AR660" t="s">
        <v>8156</v>
      </c>
      <c r="AS660" t="s">
        <v>8157</v>
      </c>
      <c r="AT660" t="s">
        <v>7937</v>
      </c>
      <c r="AU660">
        <v>2008</v>
      </c>
      <c r="AV660">
        <v>42</v>
      </c>
      <c r="AW660">
        <v>12</v>
      </c>
      <c r="AX660" t="s">
        <v>74</v>
      </c>
      <c r="AY660" t="s">
        <v>74</v>
      </c>
      <c r="AZ660" t="s">
        <v>74</v>
      </c>
      <c r="BA660" t="s">
        <v>74</v>
      </c>
      <c r="BB660">
        <v>2780</v>
      </c>
      <c r="BC660">
        <v>2787</v>
      </c>
      <c r="BD660" t="s">
        <v>74</v>
      </c>
      <c r="BE660" t="s">
        <v>8202</v>
      </c>
      <c r="BF660" t="str">
        <f>HYPERLINK("http://dx.doi.org/10.1016/j.atmosenv.2007.03.043","http://dx.doi.org/10.1016/j.atmosenv.2007.03.043")</f>
        <v>http://dx.doi.org/10.1016/j.atmosenv.2007.03.043</v>
      </c>
      <c r="BG660" t="s">
        <v>74</v>
      </c>
      <c r="BH660" t="s">
        <v>74</v>
      </c>
      <c r="BI660">
        <v>8</v>
      </c>
      <c r="BJ660" t="s">
        <v>4455</v>
      </c>
      <c r="BK660" t="s">
        <v>419</v>
      </c>
      <c r="BL660" t="s">
        <v>4456</v>
      </c>
      <c r="BM660" t="s">
        <v>8159</v>
      </c>
      <c r="BN660" t="s">
        <v>74</v>
      </c>
      <c r="BO660" t="s">
        <v>74</v>
      </c>
      <c r="BP660" t="s">
        <v>74</v>
      </c>
      <c r="BQ660" t="s">
        <v>74</v>
      </c>
      <c r="BR660" t="s">
        <v>101</v>
      </c>
      <c r="BS660" t="s">
        <v>8203</v>
      </c>
      <c r="BT660" t="str">
        <f>HYPERLINK("https%3A%2F%2Fwww.webofscience.com%2Fwos%2Fwoscc%2Ffull-record%2FWOS:000256845700004","View Full Record in Web of Science")</f>
        <v>View Full Record in Web of Science</v>
      </c>
    </row>
    <row r="661" spans="1:72" x14ac:dyDescent="0.15">
      <c r="A661" t="s">
        <v>72</v>
      </c>
      <c r="B661" t="s">
        <v>8204</v>
      </c>
      <c r="C661" t="s">
        <v>74</v>
      </c>
      <c r="D661" t="s">
        <v>74</v>
      </c>
      <c r="E661" t="s">
        <v>74</v>
      </c>
      <c r="F661" t="s">
        <v>8205</v>
      </c>
      <c r="G661" t="s">
        <v>74</v>
      </c>
      <c r="H661" t="s">
        <v>74</v>
      </c>
      <c r="I661" t="s">
        <v>8206</v>
      </c>
      <c r="J661" t="s">
        <v>8150</v>
      </c>
      <c r="K661" t="s">
        <v>74</v>
      </c>
      <c r="L661" t="s">
        <v>74</v>
      </c>
      <c r="M661" t="s">
        <v>78</v>
      </c>
      <c r="N661" t="s">
        <v>2737</v>
      </c>
      <c r="O661" t="s">
        <v>74</v>
      </c>
      <c r="P661" t="s">
        <v>74</v>
      </c>
      <c r="Q661" t="s">
        <v>74</v>
      </c>
      <c r="R661" t="s">
        <v>74</v>
      </c>
      <c r="S661" t="s">
        <v>74</v>
      </c>
      <c r="T661" t="s">
        <v>8207</v>
      </c>
      <c r="U661" t="s">
        <v>8208</v>
      </c>
      <c r="V661" t="s">
        <v>8209</v>
      </c>
      <c r="W661" t="s">
        <v>8210</v>
      </c>
      <c r="X661" t="s">
        <v>8211</v>
      </c>
      <c r="Y661" t="s">
        <v>8212</v>
      </c>
      <c r="Z661" t="s">
        <v>8213</v>
      </c>
      <c r="AA661" t="s">
        <v>8214</v>
      </c>
      <c r="AB661" t="s">
        <v>8215</v>
      </c>
      <c r="AC661" t="s">
        <v>74</v>
      </c>
      <c r="AD661" t="s">
        <v>74</v>
      </c>
      <c r="AE661" t="s">
        <v>74</v>
      </c>
      <c r="AF661" t="s">
        <v>74</v>
      </c>
      <c r="AG661">
        <v>42</v>
      </c>
      <c r="AH661">
        <v>48</v>
      </c>
      <c r="AI661">
        <v>58</v>
      </c>
      <c r="AJ661">
        <v>1</v>
      </c>
      <c r="AK661">
        <v>9</v>
      </c>
      <c r="AL661" t="s">
        <v>3007</v>
      </c>
      <c r="AM661" t="s">
        <v>3008</v>
      </c>
      <c r="AN661" t="s">
        <v>3009</v>
      </c>
      <c r="AO661" t="s">
        <v>8155</v>
      </c>
      <c r="AP661" t="s">
        <v>8174</v>
      </c>
      <c r="AQ661" t="s">
        <v>74</v>
      </c>
      <c r="AR661" t="s">
        <v>8156</v>
      </c>
      <c r="AS661" t="s">
        <v>8157</v>
      </c>
      <c r="AT661" t="s">
        <v>7937</v>
      </c>
      <c r="AU661">
        <v>2008</v>
      </c>
      <c r="AV661">
        <v>42</v>
      </c>
      <c r="AW661">
        <v>12</v>
      </c>
      <c r="AX661" t="s">
        <v>74</v>
      </c>
      <c r="AY661" t="s">
        <v>74</v>
      </c>
      <c r="AZ661" t="s">
        <v>74</v>
      </c>
      <c r="BA661" t="s">
        <v>74</v>
      </c>
      <c r="BB661">
        <v>2788</v>
      </c>
      <c r="BC661">
        <v>2803</v>
      </c>
      <c r="BD661" t="s">
        <v>74</v>
      </c>
      <c r="BE661" t="s">
        <v>8216</v>
      </c>
      <c r="BF661" t="str">
        <f>HYPERLINK("http://dx.doi.org/10.1016/j.atmosenv.2006.12.032","http://dx.doi.org/10.1016/j.atmosenv.2006.12.032")</f>
        <v>http://dx.doi.org/10.1016/j.atmosenv.2006.12.032</v>
      </c>
      <c r="BG661" t="s">
        <v>74</v>
      </c>
      <c r="BH661" t="s">
        <v>74</v>
      </c>
      <c r="BI661">
        <v>16</v>
      </c>
      <c r="BJ661" t="s">
        <v>4455</v>
      </c>
      <c r="BK661" t="s">
        <v>419</v>
      </c>
      <c r="BL661" t="s">
        <v>4456</v>
      </c>
      <c r="BM661" t="s">
        <v>8159</v>
      </c>
      <c r="BN661" t="s">
        <v>74</v>
      </c>
      <c r="BO661" t="s">
        <v>74</v>
      </c>
      <c r="BP661" t="s">
        <v>74</v>
      </c>
      <c r="BQ661" t="s">
        <v>74</v>
      </c>
      <c r="BR661" t="s">
        <v>101</v>
      </c>
      <c r="BS661" t="s">
        <v>8217</v>
      </c>
      <c r="BT661" t="str">
        <f>HYPERLINK("https%3A%2F%2Fwww.webofscience.com%2Fwos%2Fwoscc%2Ffull-record%2FWOS:000256845700005","View Full Record in Web of Science")</f>
        <v>View Full Record in Web of Science</v>
      </c>
    </row>
    <row r="662" spans="1:72" x14ac:dyDescent="0.15">
      <c r="A662" t="s">
        <v>72</v>
      </c>
      <c r="B662" t="s">
        <v>8218</v>
      </c>
      <c r="C662" t="s">
        <v>74</v>
      </c>
      <c r="D662" t="s">
        <v>74</v>
      </c>
      <c r="E662" t="s">
        <v>74</v>
      </c>
      <c r="F662" t="s">
        <v>8219</v>
      </c>
      <c r="G662" t="s">
        <v>74</v>
      </c>
      <c r="H662" t="s">
        <v>74</v>
      </c>
      <c r="I662" t="s">
        <v>8220</v>
      </c>
      <c r="J662" t="s">
        <v>8150</v>
      </c>
      <c r="K662" t="s">
        <v>74</v>
      </c>
      <c r="L662" t="s">
        <v>74</v>
      </c>
      <c r="M662" t="s">
        <v>78</v>
      </c>
      <c r="N662" t="s">
        <v>2737</v>
      </c>
      <c r="O662" t="s">
        <v>74</v>
      </c>
      <c r="P662" t="s">
        <v>74</v>
      </c>
      <c r="Q662" t="s">
        <v>74</v>
      </c>
      <c r="R662" t="s">
        <v>74</v>
      </c>
      <c r="S662" t="s">
        <v>74</v>
      </c>
      <c r="T662" t="s">
        <v>8221</v>
      </c>
      <c r="U662" t="s">
        <v>8222</v>
      </c>
      <c r="V662" t="s">
        <v>8223</v>
      </c>
      <c r="W662" t="s">
        <v>8224</v>
      </c>
      <c r="X662" t="s">
        <v>8198</v>
      </c>
      <c r="Y662" t="s">
        <v>8225</v>
      </c>
      <c r="Z662" t="s">
        <v>8226</v>
      </c>
      <c r="AA662" t="s">
        <v>8201</v>
      </c>
      <c r="AB662" t="s">
        <v>74</v>
      </c>
      <c r="AC662" t="s">
        <v>74</v>
      </c>
      <c r="AD662" t="s">
        <v>74</v>
      </c>
      <c r="AE662" t="s">
        <v>74</v>
      </c>
      <c r="AF662" t="s">
        <v>74</v>
      </c>
      <c r="AG662">
        <v>27</v>
      </c>
      <c r="AH662">
        <v>17</v>
      </c>
      <c r="AI662">
        <v>19</v>
      </c>
      <c r="AJ662">
        <v>1</v>
      </c>
      <c r="AK662">
        <v>9</v>
      </c>
      <c r="AL662" t="s">
        <v>3007</v>
      </c>
      <c r="AM662" t="s">
        <v>3008</v>
      </c>
      <c r="AN662" t="s">
        <v>3009</v>
      </c>
      <c r="AO662" t="s">
        <v>8155</v>
      </c>
      <c r="AP662" t="s">
        <v>8174</v>
      </c>
      <c r="AQ662" t="s">
        <v>74</v>
      </c>
      <c r="AR662" t="s">
        <v>8156</v>
      </c>
      <c r="AS662" t="s">
        <v>8157</v>
      </c>
      <c r="AT662" t="s">
        <v>7937</v>
      </c>
      <c r="AU662">
        <v>2008</v>
      </c>
      <c r="AV662">
        <v>42</v>
      </c>
      <c r="AW662">
        <v>12</v>
      </c>
      <c r="AX662" t="s">
        <v>74</v>
      </c>
      <c r="AY662" t="s">
        <v>74</v>
      </c>
      <c r="AZ662" t="s">
        <v>74</v>
      </c>
      <c r="BA662" t="s">
        <v>74</v>
      </c>
      <c r="BB662">
        <v>2804</v>
      </c>
      <c r="BC662">
        <v>2816</v>
      </c>
      <c r="BD662" t="s">
        <v>74</v>
      </c>
      <c r="BE662" t="s">
        <v>8227</v>
      </c>
      <c r="BF662" t="str">
        <f>HYPERLINK("http://dx.doi.org/10.1016/j.atmosenv.2007.01.020","http://dx.doi.org/10.1016/j.atmosenv.2007.01.020")</f>
        <v>http://dx.doi.org/10.1016/j.atmosenv.2007.01.020</v>
      </c>
      <c r="BG662" t="s">
        <v>74</v>
      </c>
      <c r="BH662" t="s">
        <v>74</v>
      </c>
      <c r="BI662">
        <v>13</v>
      </c>
      <c r="BJ662" t="s">
        <v>4455</v>
      </c>
      <c r="BK662" t="s">
        <v>419</v>
      </c>
      <c r="BL662" t="s">
        <v>4456</v>
      </c>
      <c r="BM662" t="s">
        <v>8159</v>
      </c>
      <c r="BN662" t="s">
        <v>74</v>
      </c>
      <c r="BO662" t="s">
        <v>74</v>
      </c>
      <c r="BP662" t="s">
        <v>74</v>
      </c>
      <c r="BQ662" t="s">
        <v>74</v>
      </c>
      <c r="BR662" t="s">
        <v>101</v>
      </c>
      <c r="BS662" t="s">
        <v>8228</v>
      </c>
      <c r="BT662" t="str">
        <f>HYPERLINK("https%3A%2F%2Fwww.webofscience.com%2Fwos%2Fwoscc%2Ffull-record%2FWOS:000256845700006","View Full Record in Web of Science")</f>
        <v>View Full Record in Web of Science</v>
      </c>
    </row>
    <row r="663" spans="1:72" x14ac:dyDescent="0.15">
      <c r="A663" t="s">
        <v>72</v>
      </c>
      <c r="B663" t="s">
        <v>8229</v>
      </c>
      <c r="C663" t="s">
        <v>74</v>
      </c>
      <c r="D663" t="s">
        <v>74</v>
      </c>
      <c r="E663" t="s">
        <v>74</v>
      </c>
      <c r="F663" t="s">
        <v>8230</v>
      </c>
      <c r="G663" t="s">
        <v>74</v>
      </c>
      <c r="H663" t="s">
        <v>74</v>
      </c>
      <c r="I663" t="s">
        <v>8231</v>
      </c>
      <c r="J663" t="s">
        <v>8150</v>
      </c>
      <c r="K663" t="s">
        <v>74</v>
      </c>
      <c r="L663" t="s">
        <v>74</v>
      </c>
      <c r="M663" t="s">
        <v>78</v>
      </c>
      <c r="N663" t="s">
        <v>2737</v>
      </c>
      <c r="O663" t="s">
        <v>74</v>
      </c>
      <c r="P663" t="s">
        <v>74</v>
      </c>
      <c r="Q663" t="s">
        <v>74</v>
      </c>
      <c r="R663" t="s">
        <v>74</v>
      </c>
      <c r="S663" t="s">
        <v>74</v>
      </c>
      <c r="T663" t="s">
        <v>8232</v>
      </c>
      <c r="U663" t="s">
        <v>8233</v>
      </c>
      <c r="V663" t="s">
        <v>8234</v>
      </c>
      <c r="W663" t="s">
        <v>8235</v>
      </c>
      <c r="X663" t="s">
        <v>8211</v>
      </c>
      <c r="Y663" t="s">
        <v>8236</v>
      </c>
      <c r="Z663" t="s">
        <v>8213</v>
      </c>
      <c r="AA663" t="s">
        <v>8237</v>
      </c>
      <c r="AB663" t="s">
        <v>8215</v>
      </c>
      <c r="AC663" t="s">
        <v>74</v>
      </c>
      <c r="AD663" t="s">
        <v>74</v>
      </c>
      <c r="AE663" t="s">
        <v>74</v>
      </c>
      <c r="AF663" t="s">
        <v>74</v>
      </c>
      <c r="AG663">
        <v>31</v>
      </c>
      <c r="AH663">
        <v>26</v>
      </c>
      <c r="AI663">
        <v>30</v>
      </c>
      <c r="AJ663">
        <v>0</v>
      </c>
      <c r="AK663">
        <v>10</v>
      </c>
      <c r="AL663" t="s">
        <v>3007</v>
      </c>
      <c r="AM663" t="s">
        <v>3008</v>
      </c>
      <c r="AN663" t="s">
        <v>3009</v>
      </c>
      <c r="AO663" t="s">
        <v>8155</v>
      </c>
      <c r="AP663" t="s">
        <v>74</v>
      </c>
      <c r="AQ663" t="s">
        <v>74</v>
      </c>
      <c r="AR663" t="s">
        <v>8156</v>
      </c>
      <c r="AS663" t="s">
        <v>8157</v>
      </c>
      <c r="AT663" t="s">
        <v>7937</v>
      </c>
      <c r="AU663">
        <v>2008</v>
      </c>
      <c r="AV663">
        <v>42</v>
      </c>
      <c r="AW663">
        <v>12</v>
      </c>
      <c r="AX663" t="s">
        <v>74</v>
      </c>
      <c r="AY663" t="s">
        <v>74</v>
      </c>
      <c r="AZ663" t="s">
        <v>74</v>
      </c>
      <c r="BA663" t="s">
        <v>74</v>
      </c>
      <c r="BB663">
        <v>2817</v>
      </c>
      <c r="BC663">
        <v>2830</v>
      </c>
      <c r="BD663" t="s">
        <v>74</v>
      </c>
      <c r="BE663" t="s">
        <v>8238</v>
      </c>
      <c r="BF663" t="str">
        <f>HYPERLINK("http://dx.doi.org/10.1016/j.atmosenv.2007.03.061","http://dx.doi.org/10.1016/j.atmosenv.2007.03.061")</f>
        <v>http://dx.doi.org/10.1016/j.atmosenv.2007.03.061</v>
      </c>
      <c r="BG663" t="s">
        <v>74</v>
      </c>
      <c r="BH663" t="s">
        <v>74</v>
      </c>
      <c r="BI663">
        <v>14</v>
      </c>
      <c r="BJ663" t="s">
        <v>4455</v>
      </c>
      <c r="BK663" t="s">
        <v>419</v>
      </c>
      <c r="BL663" t="s">
        <v>4456</v>
      </c>
      <c r="BM663" t="s">
        <v>8159</v>
      </c>
      <c r="BN663" t="s">
        <v>74</v>
      </c>
      <c r="BO663" t="s">
        <v>74</v>
      </c>
      <c r="BP663" t="s">
        <v>74</v>
      </c>
      <c r="BQ663" t="s">
        <v>74</v>
      </c>
      <c r="BR663" t="s">
        <v>101</v>
      </c>
      <c r="BS663" t="s">
        <v>8239</v>
      </c>
      <c r="BT663" t="str">
        <f>HYPERLINK("https%3A%2F%2Fwww.webofscience.com%2Fwos%2Fwoscc%2Ffull-record%2FWOS:000256845700007","View Full Record in Web of Science")</f>
        <v>View Full Record in Web of Science</v>
      </c>
    </row>
    <row r="664" spans="1:72" x14ac:dyDescent="0.15">
      <c r="A664" t="s">
        <v>72</v>
      </c>
      <c r="B664" t="s">
        <v>8240</v>
      </c>
      <c r="C664" t="s">
        <v>74</v>
      </c>
      <c r="D664" t="s">
        <v>74</v>
      </c>
      <c r="E664" t="s">
        <v>74</v>
      </c>
      <c r="F664" t="s">
        <v>8241</v>
      </c>
      <c r="G664" t="s">
        <v>74</v>
      </c>
      <c r="H664" t="s">
        <v>74</v>
      </c>
      <c r="I664" t="s">
        <v>8242</v>
      </c>
      <c r="J664" t="s">
        <v>8150</v>
      </c>
      <c r="K664" t="s">
        <v>74</v>
      </c>
      <c r="L664" t="s">
        <v>74</v>
      </c>
      <c r="M664" t="s">
        <v>78</v>
      </c>
      <c r="N664" t="s">
        <v>2737</v>
      </c>
      <c r="O664" t="s">
        <v>74</v>
      </c>
      <c r="P664" t="s">
        <v>74</v>
      </c>
      <c r="Q664" t="s">
        <v>74</v>
      </c>
      <c r="R664" t="s">
        <v>74</v>
      </c>
      <c r="S664" t="s">
        <v>74</v>
      </c>
      <c r="T664" t="s">
        <v>8243</v>
      </c>
      <c r="U664" t="s">
        <v>8244</v>
      </c>
      <c r="V664" t="s">
        <v>8245</v>
      </c>
      <c r="W664" t="s">
        <v>8246</v>
      </c>
      <c r="X664" t="s">
        <v>8247</v>
      </c>
      <c r="Y664" t="s">
        <v>8248</v>
      </c>
      <c r="Z664" t="s">
        <v>8249</v>
      </c>
      <c r="AA664" t="s">
        <v>8250</v>
      </c>
      <c r="AB664" t="s">
        <v>8251</v>
      </c>
      <c r="AC664" t="s">
        <v>74</v>
      </c>
      <c r="AD664" t="s">
        <v>74</v>
      </c>
      <c r="AE664" t="s">
        <v>74</v>
      </c>
      <c r="AF664" t="s">
        <v>74</v>
      </c>
      <c r="AG664">
        <v>72</v>
      </c>
      <c r="AH664">
        <v>66</v>
      </c>
      <c r="AI664">
        <v>76</v>
      </c>
      <c r="AJ664">
        <v>0</v>
      </c>
      <c r="AK664">
        <v>15</v>
      </c>
      <c r="AL664" t="s">
        <v>3007</v>
      </c>
      <c r="AM664" t="s">
        <v>3008</v>
      </c>
      <c r="AN664" t="s">
        <v>3009</v>
      </c>
      <c r="AO664" t="s">
        <v>8155</v>
      </c>
      <c r="AP664" t="s">
        <v>8174</v>
      </c>
      <c r="AQ664" t="s">
        <v>74</v>
      </c>
      <c r="AR664" t="s">
        <v>8156</v>
      </c>
      <c r="AS664" t="s">
        <v>8157</v>
      </c>
      <c r="AT664" t="s">
        <v>7937</v>
      </c>
      <c r="AU664">
        <v>2008</v>
      </c>
      <c r="AV664">
        <v>42</v>
      </c>
      <c r="AW664">
        <v>12</v>
      </c>
      <c r="AX664" t="s">
        <v>74</v>
      </c>
      <c r="AY664" t="s">
        <v>74</v>
      </c>
      <c r="AZ664" t="s">
        <v>74</v>
      </c>
      <c r="BA664" t="s">
        <v>74</v>
      </c>
      <c r="BB664">
        <v>2831</v>
      </c>
      <c r="BC664">
        <v>2848</v>
      </c>
      <c r="BD664" t="s">
        <v>74</v>
      </c>
      <c r="BE664" t="s">
        <v>8252</v>
      </c>
      <c r="BF664" t="str">
        <f>HYPERLINK("http://dx.doi.org/10.1016/j.atmosenv.2007.07.039","http://dx.doi.org/10.1016/j.atmosenv.2007.07.039")</f>
        <v>http://dx.doi.org/10.1016/j.atmosenv.2007.07.039</v>
      </c>
      <c r="BG664" t="s">
        <v>74</v>
      </c>
      <c r="BH664" t="s">
        <v>74</v>
      </c>
      <c r="BI664">
        <v>18</v>
      </c>
      <c r="BJ664" t="s">
        <v>4455</v>
      </c>
      <c r="BK664" t="s">
        <v>419</v>
      </c>
      <c r="BL664" t="s">
        <v>4456</v>
      </c>
      <c r="BM664" t="s">
        <v>8159</v>
      </c>
      <c r="BN664" t="s">
        <v>74</v>
      </c>
      <c r="BO664" t="s">
        <v>3311</v>
      </c>
      <c r="BP664" t="s">
        <v>74</v>
      </c>
      <c r="BQ664" t="s">
        <v>74</v>
      </c>
      <c r="BR664" t="s">
        <v>101</v>
      </c>
      <c r="BS664" t="s">
        <v>8253</v>
      </c>
      <c r="BT664" t="str">
        <f>HYPERLINK("https%3A%2F%2Fwww.webofscience.com%2Fwos%2Fwoscc%2Ffull-record%2FWOS:000256845700008","View Full Record in Web of Science")</f>
        <v>View Full Record in Web of Science</v>
      </c>
    </row>
    <row r="665" spans="1:72" x14ac:dyDescent="0.15">
      <c r="A665" t="s">
        <v>72</v>
      </c>
      <c r="B665" t="s">
        <v>8254</v>
      </c>
      <c r="C665" t="s">
        <v>74</v>
      </c>
      <c r="D665" t="s">
        <v>74</v>
      </c>
      <c r="E665" t="s">
        <v>74</v>
      </c>
      <c r="F665" t="s">
        <v>8255</v>
      </c>
      <c r="G665" t="s">
        <v>74</v>
      </c>
      <c r="H665" t="s">
        <v>74</v>
      </c>
      <c r="I665" t="s">
        <v>8256</v>
      </c>
      <c r="J665" t="s">
        <v>8150</v>
      </c>
      <c r="K665" t="s">
        <v>74</v>
      </c>
      <c r="L665" t="s">
        <v>74</v>
      </c>
      <c r="M665" t="s">
        <v>78</v>
      </c>
      <c r="N665" t="s">
        <v>8257</v>
      </c>
      <c r="O665" t="s">
        <v>74</v>
      </c>
      <c r="P665" t="s">
        <v>74</v>
      </c>
      <c r="Q665" t="s">
        <v>74</v>
      </c>
      <c r="R665" t="s">
        <v>74</v>
      </c>
      <c r="S665" t="s">
        <v>74</v>
      </c>
      <c r="T665" t="s">
        <v>8258</v>
      </c>
      <c r="U665" t="s">
        <v>8259</v>
      </c>
      <c r="V665" t="s">
        <v>8260</v>
      </c>
      <c r="W665" t="s">
        <v>8261</v>
      </c>
      <c r="X665" t="s">
        <v>8262</v>
      </c>
      <c r="Y665" t="s">
        <v>8263</v>
      </c>
      <c r="Z665" t="s">
        <v>8264</v>
      </c>
      <c r="AA665" t="s">
        <v>8265</v>
      </c>
      <c r="AB665" t="s">
        <v>8266</v>
      </c>
      <c r="AC665" t="s">
        <v>74</v>
      </c>
      <c r="AD665" t="s">
        <v>74</v>
      </c>
      <c r="AE665" t="s">
        <v>74</v>
      </c>
      <c r="AF665" t="s">
        <v>74</v>
      </c>
      <c r="AG665">
        <v>36</v>
      </c>
      <c r="AH665">
        <v>15</v>
      </c>
      <c r="AI665">
        <v>20</v>
      </c>
      <c r="AJ665">
        <v>0</v>
      </c>
      <c r="AK665">
        <v>8</v>
      </c>
      <c r="AL665" t="s">
        <v>3007</v>
      </c>
      <c r="AM665" t="s">
        <v>3008</v>
      </c>
      <c r="AN665" t="s">
        <v>3009</v>
      </c>
      <c r="AO665" t="s">
        <v>8155</v>
      </c>
      <c r="AP665" t="s">
        <v>74</v>
      </c>
      <c r="AQ665" t="s">
        <v>74</v>
      </c>
      <c r="AR665" t="s">
        <v>8156</v>
      </c>
      <c r="AS665" t="s">
        <v>8157</v>
      </c>
      <c r="AT665" t="s">
        <v>7937</v>
      </c>
      <c r="AU665">
        <v>2008</v>
      </c>
      <c r="AV665">
        <v>42</v>
      </c>
      <c r="AW665">
        <v>12</v>
      </c>
      <c r="AX665" t="s">
        <v>74</v>
      </c>
      <c r="AY665" t="s">
        <v>74</v>
      </c>
      <c r="AZ665" t="s">
        <v>74</v>
      </c>
      <c r="BA665" t="s">
        <v>74</v>
      </c>
      <c r="BB665">
        <v>2849</v>
      </c>
      <c r="BC665">
        <v>2863</v>
      </c>
      <c r="BD665" t="s">
        <v>74</v>
      </c>
      <c r="BE665" t="s">
        <v>8267</v>
      </c>
      <c r="BF665" t="str">
        <f>HYPERLINK("http://dx.doi.org/10.1016/j.atmosenv.2007.07.062","http://dx.doi.org/10.1016/j.atmosenv.2007.07.062")</f>
        <v>http://dx.doi.org/10.1016/j.atmosenv.2007.07.062</v>
      </c>
      <c r="BG665" t="s">
        <v>74</v>
      </c>
      <c r="BH665" t="s">
        <v>74</v>
      </c>
      <c r="BI665">
        <v>15</v>
      </c>
      <c r="BJ665" t="s">
        <v>4455</v>
      </c>
      <c r="BK665" t="s">
        <v>419</v>
      </c>
      <c r="BL665" t="s">
        <v>4456</v>
      </c>
      <c r="BM665" t="s">
        <v>8159</v>
      </c>
      <c r="BN665" t="s">
        <v>74</v>
      </c>
      <c r="BO665" t="s">
        <v>74</v>
      </c>
      <c r="BP665" t="s">
        <v>74</v>
      </c>
      <c r="BQ665" t="s">
        <v>74</v>
      </c>
      <c r="BR665" t="s">
        <v>101</v>
      </c>
      <c r="BS665" t="s">
        <v>8268</v>
      </c>
      <c r="BT665" t="str">
        <f>HYPERLINK("https%3A%2F%2Fwww.webofscience.com%2Fwos%2Fwoscc%2Ffull-record%2FWOS:000256845700009","View Full Record in Web of Science")</f>
        <v>View Full Record in Web of Science</v>
      </c>
    </row>
    <row r="666" spans="1:72" x14ac:dyDescent="0.15">
      <c r="A666" t="s">
        <v>72</v>
      </c>
      <c r="B666" t="s">
        <v>8269</v>
      </c>
      <c r="C666" t="s">
        <v>74</v>
      </c>
      <c r="D666" t="s">
        <v>74</v>
      </c>
      <c r="E666" t="s">
        <v>74</v>
      </c>
      <c r="F666" t="s">
        <v>8270</v>
      </c>
      <c r="G666" t="s">
        <v>74</v>
      </c>
      <c r="H666" t="s">
        <v>74</v>
      </c>
      <c r="I666" t="s">
        <v>8271</v>
      </c>
      <c r="J666" t="s">
        <v>8150</v>
      </c>
      <c r="K666" t="s">
        <v>74</v>
      </c>
      <c r="L666" t="s">
        <v>74</v>
      </c>
      <c r="M666" t="s">
        <v>78</v>
      </c>
      <c r="N666" t="s">
        <v>2737</v>
      </c>
      <c r="O666" t="s">
        <v>74</v>
      </c>
      <c r="P666" t="s">
        <v>74</v>
      </c>
      <c r="Q666" t="s">
        <v>74</v>
      </c>
      <c r="R666" t="s">
        <v>74</v>
      </c>
      <c r="S666" t="s">
        <v>74</v>
      </c>
      <c r="T666" t="s">
        <v>8272</v>
      </c>
      <c r="U666" t="s">
        <v>8273</v>
      </c>
      <c r="V666" t="s">
        <v>8274</v>
      </c>
      <c r="W666" t="s">
        <v>8275</v>
      </c>
      <c r="X666" t="s">
        <v>8276</v>
      </c>
      <c r="Y666" t="s">
        <v>8277</v>
      </c>
      <c r="Z666" t="s">
        <v>8278</v>
      </c>
      <c r="AA666" t="s">
        <v>8279</v>
      </c>
      <c r="AB666" t="s">
        <v>8280</v>
      </c>
      <c r="AC666" t="s">
        <v>74</v>
      </c>
      <c r="AD666" t="s">
        <v>74</v>
      </c>
      <c r="AE666" t="s">
        <v>74</v>
      </c>
      <c r="AF666" t="s">
        <v>74</v>
      </c>
      <c r="AG666">
        <v>39</v>
      </c>
      <c r="AH666">
        <v>29</v>
      </c>
      <c r="AI666">
        <v>31</v>
      </c>
      <c r="AJ666">
        <v>0</v>
      </c>
      <c r="AK666">
        <v>21</v>
      </c>
      <c r="AL666" t="s">
        <v>3007</v>
      </c>
      <c r="AM666" t="s">
        <v>3008</v>
      </c>
      <c r="AN666" t="s">
        <v>3009</v>
      </c>
      <c r="AO666" t="s">
        <v>8155</v>
      </c>
      <c r="AP666" t="s">
        <v>8174</v>
      </c>
      <c r="AQ666" t="s">
        <v>74</v>
      </c>
      <c r="AR666" t="s">
        <v>8156</v>
      </c>
      <c r="AS666" t="s">
        <v>8157</v>
      </c>
      <c r="AT666" t="s">
        <v>7937</v>
      </c>
      <c r="AU666">
        <v>2008</v>
      </c>
      <c r="AV666">
        <v>42</v>
      </c>
      <c r="AW666">
        <v>12</v>
      </c>
      <c r="AX666" t="s">
        <v>74</v>
      </c>
      <c r="AY666" t="s">
        <v>74</v>
      </c>
      <c r="AZ666" t="s">
        <v>74</v>
      </c>
      <c r="BA666" t="s">
        <v>74</v>
      </c>
      <c r="BB666">
        <v>2864</v>
      </c>
      <c r="BC666">
        <v>2876</v>
      </c>
      <c r="BD666" t="s">
        <v>74</v>
      </c>
      <c r="BE666" t="s">
        <v>8281</v>
      </c>
      <c r="BF666" t="str">
        <f>HYPERLINK("http://dx.doi.org/10.1016/j.atmosenv.2007.05.054","http://dx.doi.org/10.1016/j.atmosenv.2007.05.054")</f>
        <v>http://dx.doi.org/10.1016/j.atmosenv.2007.05.054</v>
      </c>
      <c r="BG666" t="s">
        <v>74</v>
      </c>
      <c r="BH666" t="s">
        <v>74</v>
      </c>
      <c r="BI666">
        <v>13</v>
      </c>
      <c r="BJ666" t="s">
        <v>4455</v>
      </c>
      <c r="BK666" t="s">
        <v>419</v>
      </c>
      <c r="BL666" t="s">
        <v>4456</v>
      </c>
      <c r="BM666" t="s">
        <v>8159</v>
      </c>
      <c r="BN666" t="s">
        <v>74</v>
      </c>
      <c r="BO666" t="s">
        <v>74</v>
      </c>
      <c r="BP666" t="s">
        <v>74</v>
      </c>
      <c r="BQ666" t="s">
        <v>74</v>
      </c>
      <c r="BR666" t="s">
        <v>101</v>
      </c>
      <c r="BS666" t="s">
        <v>8282</v>
      </c>
      <c r="BT666" t="str">
        <f>HYPERLINK("https%3A%2F%2Fwww.webofscience.com%2Fwos%2Fwoscc%2Ffull-record%2FWOS:000256845700010","View Full Record in Web of Science")</f>
        <v>View Full Record in Web of Science</v>
      </c>
    </row>
    <row r="667" spans="1:72" x14ac:dyDescent="0.15">
      <c r="A667" t="s">
        <v>72</v>
      </c>
      <c r="B667" t="s">
        <v>8283</v>
      </c>
      <c r="C667" t="s">
        <v>74</v>
      </c>
      <c r="D667" t="s">
        <v>74</v>
      </c>
      <c r="E667" t="s">
        <v>74</v>
      </c>
      <c r="F667" t="s">
        <v>8284</v>
      </c>
      <c r="G667" t="s">
        <v>74</v>
      </c>
      <c r="H667" t="s">
        <v>74</v>
      </c>
      <c r="I667" t="s">
        <v>8285</v>
      </c>
      <c r="J667" t="s">
        <v>8150</v>
      </c>
      <c r="K667" t="s">
        <v>74</v>
      </c>
      <c r="L667" t="s">
        <v>74</v>
      </c>
      <c r="M667" t="s">
        <v>78</v>
      </c>
      <c r="N667" t="s">
        <v>2737</v>
      </c>
      <c r="O667" t="s">
        <v>74</v>
      </c>
      <c r="P667" t="s">
        <v>74</v>
      </c>
      <c r="Q667" t="s">
        <v>74</v>
      </c>
      <c r="R667" t="s">
        <v>74</v>
      </c>
      <c r="S667" t="s">
        <v>74</v>
      </c>
      <c r="T667" t="s">
        <v>8286</v>
      </c>
      <c r="U667" t="s">
        <v>8287</v>
      </c>
      <c r="V667" t="s">
        <v>8288</v>
      </c>
      <c r="W667" t="s">
        <v>8289</v>
      </c>
      <c r="X667" t="s">
        <v>8290</v>
      </c>
      <c r="Y667" t="s">
        <v>8291</v>
      </c>
      <c r="Z667" t="s">
        <v>8292</v>
      </c>
      <c r="AA667" t="s">
        <v>74</v>
      </c>
      <c r="AB667" t="s">
        <v>74</v>
      </c>
      <c r="AC667" t="s">
        <v>74</v>
      </c>
      <c r="AD667" t="s">
        <v>74</v>
      </c>
      <c r="AE667" t="s">
        <v>74</v>
      </c>
      <c r="AF667" t="s">
        <v>74</v>
      </c>
      <c r="AG667">
        <v>19</v>
      </c>
      <c r="AH667">
        <v>56</v>
      </c>
      <c r="AI667">
        <v>62</v>
      </c>
      <c r="AJ667">
        <v>2</v>
      </c>
      <c r="AK667">
        <v>36</v>
      </c>
      <c r="AL667" t="s">
        <v>3007</v>
      </c>
      <c r="AM667" t="s">
        <v>3008</v>
      </c>
      <c r="AN667" t="s">
        <v>3009</v>
      </c>
      <c r="AO667" t="s">
        <v>8155</v>
      </c>
      <c r="AP667" t="s">
        <v>74</v>
      </c>
      <c r="AQ667" t="s">
        <v>74</v>
      </c>
      <c r="AR667" t="s">
        <v>8156</v>
      </c>
      <c r="AS667" t="s">
        <v>8157</v>
      </c>
      <c r="AT667" t="s">
        <v>7937</v>
      </c>
      <c r="AU667">
        <v>2008</v>
      </c>
      <c r="AV667">
        <v>42</v>
      </c>
      <c r="AW667">
        <v>12</v>
      </c>
      <c r="AX667" t="s">
        <v>74</v>
      </c>
      <c r="AY667" t="s">
        <v>74</v>
      </c>
      <c r="AZ667" t="s">
        <v>74</v>
      </c>
      <c r="BA667" t="s">
        <v>74</v>
      </c>
      <c r="BB667">
        <v>2877</v>
      </c>
      <c r="BC667">
        <v>2884</v>
      </c>
      <c r="BD667" t="s">
        <v>74</v>
      </c>
      <c r="BE667" t="s">
        <v>8293</v>
      </c>
      <c r="BF667" t="str">
        <f>HYPERLINK("http://dx.doi.org/10.1016/j.atmosenv.2007.05.029","http://dx.doi.org/10.1016/j.atmosenv.2007.05.029")</f>
        <v>http://dx.doi.org/10.1016/j.atmosenv.2007.05.029</v>
      </c>
      <c r="BG667" t="s">
        <v>74</v>
      </c>
      <c r="BH667" t="s">
        <v>74</v>
      </c>
      <c r="BI667">
        <v>8</v>
      </c>
      <c r="BJ667" t="s">
        <v>4455</v>
      </c>
      <c r="BK667" t="s">
        <v>419</v>
      </c>
      <c r="BL667" t="s">
        <v>4456</v>
      </c>
      <c r="BM667" t="s">
        <v>8159</v>
      </c>
      <c r="BN667" t="s">
        <v>74</v>
      </c>
      <c r="BO667" t="s">
        <v>74</v>
      </c>
      <c r="BP667" t="s">
        <v>74</v>
      </c>
      <c r="BQ667" t="s">
        <v>74</v>
      </c>
      <c r="BR667" t="s">
        <v>101</v>
      </c>
      <c r="BS667" t="s">
        <v>8294</v>
      </c>
      <c r="BT667" t="str">
        <f>HYPERLINK("https%3A%2F%2Fwww.webofscience.com%2Fwos%2Fwoscc%2Ffull-record%2FWOS:000256845700011","View Full Record in Web of Science")</f>
        <v>View Full Record in Web of Science</v>
      </c>
    </row>
    <row r="668" spans="1:72" x14ac:dyDescent="0.15">
      <c r="A668" t="s">
        <v>72</v>
      </c>
      <c r="B668" t="s">
        <v>8295</v>
      </c>
      <c r="C668" t="s">
        <v>74</v>
      </c>
      <c r="D668" t="s">
        <v>74</v>
      </c>
      <c r="E668" t="s">
        <v>74</v>
      </c>
      <c r="F668" t="s">
        <v>8296</v>
      </c>
      <c r="G668" t="s">
        <v>74</v>
      </c>
      <c r="H668" t="s">
        <v>74</v>
      </c>
      <c r="I668" t="s">
        <v>8297</v>
      </c>
      <c r="J668" t="s">
        <v>8298</v>
      </c>
      <c r="K668" t="s">
        <v>74</v>
      </c>
      <c r="L668" t="s">
        <v>74</v>
      </c>
      <c r="M668" t="s">
        <v>78</v>
      </c>
      <c r="N668" t="s">
        <v>2737</v>
      </c>
      <c r="O668" t="s">
        <v>74</v>
      </c>
      <c r="P668" t="s">
        <v>74</v>
      </c>
      <c r="Q668" t="s">
        <v>74</v>
      </c>
      <c r="R668" t="s">
        <v>74</v>
      </c>
      <c r="S668" t="s">
        <v>74</v>
      </c>
      <c r="T668" t="s">
        <v>8299</v>
      </c>
      <c r="U668" t="s">
        <v>8300</v>
      </c>
      <c r="V668" t="s">
        <v>8301</v>
      </c>
      <c r="W668" t="s">
        <v>8302</v>
      </c>
      <c r="X668" t="s">
        <v>8303</v>
      </c>
      <c r="Y668" t="s">
        <v>8304</v>
      </c>
      <c r="Z668" t="s">
        <v>8305</v>
      </c>
      <c r="AA668" t="s">
        <v>8306</v>
      </c>
      <c r="AB668" t="s">
        <v>8307</v>
      </c>
      <c r="AC668" t="s">
        <v>8308</v>
      </c>
      <c r="AD668" t="s">
        <v>3031</v>
      </c>
      <c r="AE668" t="s">
        <v>74</v>
      </c>
      <c r="AF668" t="s">
        <v>74</v>
      </c>
      <c r="AG668">
        <v>34</v>
      </c>
      <c r="AH668">
        <v>105</v>
      </c>
      <c r="AI668">
        <v>126</v>
      </c>
      <c r="AJ668">
        <v>3</v>
      </c>
      <c r="AK668">
        <v>35</v>
      </c>
      <c r="AL668" t="s">
        <v>8309</v>
      </c>
      <c r="AM668" t="s">
        <v>3550</v>
      </c>
      <c r="AN668" t="s">
        <v>8310</v>
      </c>
      <c r="AO668" t="s">
        <v>8311</v>
      </c>
      <c r="AP668" t="s">
        <v>8312</v>
      </c>
      <c r="AQ668" t="s">
        <v>74</v>
      </c>
      <c r="AR668" t="s">
        <v>8313</v>
      </c>
      <c r="AS668" t="s">
        <v>8314</v>
      </c>
      <c r="AT668" t="s">
        <v>8315</v>
      </c>
      <c r="AU668">
        <v>2008</v>
      </c>
      <c r="AV668">
        <v>411</v>
      </c>
      <c r="AW668" t="s">
        <v>74</v>
      </c>
      <c r="AX668">
        <v>1</v>
      </c>
      <c r="AY668" t="s">
        <v>74</v>
      </c>
      <c r="AZ668" t="s">
        <v>74</v>
      </c>
      <c r="BA668" t="s">
        <v>74</v>
      </c>
      <c r="BB668">
        <v>171</v>
      </c>
      <c r="BC668">
        <v>180</v>
      </c>
      <c r="BD668" t="s">
        <v>74</v>
      </c>
      <c r="BE668" t="s">
        <v>8316</v>
      </c>
      <c r="BF668" t="str">
        <f>HYPERLINK("http://dx.doi.org/10.1042/BJ20071372","http://dx.doi.org/10.1042/BJ20071372")</f>
        <v>http://dx.doi.org/10.1042/BJ20071372</v>
      </c>
      <c r="BG668" t="s">
        <v>74</v>
      </c>
      <c r="BH668" t="s">
        <v>74</v>
      </c>
      <c r="BI668">
        <v>10</v>
      </c>
      <c r="BJ668" t="s">
        <v>4071</v>
      </c>
      <c r="BK668" t="s">
        <v>419</v>
      </c>
      <c r="BL668" t="s">
        <v>4071</v>
      </c>
      <c r="BM668" t="s">
        <v>8317</v>
      </c>
      <c r="BN668">
        <v>18095937</v>
      </c>
      <c r="BO668" t="s">
        <v>74</v>
      </c>
      <c r="BP668" t="s">
        <v>74</v>
      </c>
      <c r="BQ668" t="s">
        <v>74</v>
      </c>
      <c r="BR668" t="s">
        <v>101</v>
      </c>
      <c r="BS668" t="s">
        <v>8318</v>
      </c>
      <c r="BT668" t="str">
        <f>HYPERLINK("https%3A%2F%2Fwww.webofscience.com%2Fwos%2Fwoscc%2Ffull-record%2FWOS:000254907400019","View Full Record in Web of Science")</f>
        <v>View Full Record in Web of Science</v>
      </c>
    </row>
    <row r="669" spans="1:72" x14ac:dyDescent="0.15">
      <c r="A669" t="s">
        <v>72</v>
      </c>
      <c r="B669" t="s">
        <v>8319</v>
      </c>
      <c r="C669" t="s">
        <v>74</v>
      </c>
      <c r="D669" t="s">
        <v>74</v>
      </c>
      <c r="E669" t="s">
        <v>74</v>
      </c>
      <c r="F669" t="s">
        <v>8320</v>
      </c>
      <c r="G669" t="s">
        <v>74</v>
      </c>
      <c r="H669" t="s">
        <v>74</v>
      </c>
      <c r="I669" t="s">
        <v>8321</v>
      </c>
      <c r="J669" t="s">
        <v>8322</v>
      </c>
      <c r="K669" t="s">
        <v>74</v>
      </c>
      <c r="L669" t="s">
        <v>74</v>
      </c>
      <c r="M669" t="s">
        <v>78</v>
      </c>
      <c r="N669" t="s">
        <v>2737</v>
      </c>
      <c r="O669" t="s">
        <v>74</v>
      </c>
      <c r="P669" t="s">
        <v>74</v>
      </c>
      <c r="Q669" t="s">
        <v>74</v>
      </c>
      <c r="R669" t="s">
        <v>74</v>
      </c>
      <c r="S669" t="s">
        <v>74</v>
      </c>
      <c r="T669" t="s">
        <v>8323</v>
      </c>
      <c r="U669" t="s">
        <v>8324</v>
      </c>
      <c r="V669" t="s">
        <v>8325</v>
      </c>
      <c r="W669" t="s">
        <v>8326</v>
      </c>
      <c r="X669" t="s">
        <v>8327</v>
      </c>
      <c r="Y669" t="s">
        <v>8328</v>
      </c>
      <c r="Z669" t="s">
        <v>8329</v>
      </c>
      <c r="AA669" t="s">
        <v>8330</v>
      </c>
      <c r="AB669" t="s">
        <v>8331</v>
      </c>
      <c r="AC669" t="s">
        <v>74</v>
      </c>
      <c r="AD669" t="s">
        <v>74</v>
      </c>
      <c r="AE669" t="s">
        <v>74</v>
      </c>
      <c r="AF669" t="s">
        <v>74</v>
      </c>
      <c r="AG669">
        <v>26</v>
      </c>
      <c r="AH669">
        <v>35</v>
      </c>
      <c r="AI669">
        <v>38</v>
      </c>
      <c r="AJ669">
        <v>1</v>
      </c>
      <c r="AK669">
        <v>27</v>
      </c>
      <c r="AL669" t="s">
        <v>6206</v>
      </c>
      <c r="AM669" t="s">
        <v>3008</v>
      </c>
      <c r="AN669" t="s">
        <v>6207</v>
      </c>
      <c r="AO669" t="s">
        <v>8332</v>
      </c>
      <c r="AP669" t="s">
        <v>8333</v>
      </c>
      <c r="AQ669" t="s">
        <v>74</v>
      </c>
      <c r="AR669" t="s">
        <v>8334</v>
      </c>
      <c r="AS669" t="s">
        <v>8335</v>
      </c>
      <c r="AT669" t="s">
        <v>7937</v>
      </c>
      <c r="AU669">
        <v>2008</v>
      </c>
      <c r="AV669">
        <v>99</v>
      </c>
      <c r="AW669">
        <v>6</v>
      </c>
      <c r="AX669" t="s">
        <v>74</v>
      </c>
      <c r="AY669" t="s">
        <v>74</v>
      </c>
      <c r="AZ669" t="s">
        <v>74</v>
      </c>
      <c r="BA669" t="s">
        <v>74</v>
      </c>
      <c r="BB669">
        <v>2001</v>
      </c>
      <c r="BC669">
        <v>2008</v>
      </c>
      <c r="BD669" t="s">
        <v>74</v>
      </c>
      <c r="BE669" t="s">
        <v>8336</v>
      </c>
      <c r="BF669" t="str">
        <f>HYPERLINK("http://dx.doi.org/10.1016/j.biortech.2007.03.024","http://dx.doi.org/10.1016/j.biortech.2007.03.024")</f>
        <v>http://dx.doi.org/10.1016/j.biortech.2007.03.024</v>
      </c>
      <c r="BG669" t="s">
        <v>74</v>
      </c>
      <c r="BH669" t="s">
        <v>74</v>
      </c>
      <c r="BI669">
        <v>8</v>
      </c>
      <c r="BJ669" t="s">
        <v>8337</v>
      </c>
      <c r="BK669" t="s">
        <v>419</v>
      </c>
      <c r="BL669" t="s">
        <v>8338</v>
      </c>
      <c r="BM669" t="s">
        <v>8339</v>
      </c>
      <c r="BN669">
        <v>17481891</v>
      </c>
      <c r="BO669" t="s">
        <v>74</v>
      </c>
      <c r="BP669" t="s">
        <v>74</v>
      </c>
      <c r="BQ669" t="s">
        <v>74</v>
      </c>
      <c r="BR669" t="s">
        <v>101</v>
      </c>
      <c r="BS669" t="s">
        <v>8340</v>
      </c>
      <c r="BT669" t="str">
        <f>HYPERLINK("https%3A%2F%2Fwww.webofscience.com%2Fwos%2Fwoscc%2Ffull-record%2FWOS:000253015800066","View Full Record in Web of Science")</f>
        <v>View Full Record in Web of Science</v>
      </c>
    </row>
    <row r="670" spans="1:72" x14ac:dyDescent="0.15">
      <c r="A670" t="s">
        <v>72</v>
      </c>
      <c r="B670" t="s">
        <v>5744</v>
      </c>
      <c r="C670" t="s">
        <v>74</v>
      </c>
      <c r="D670" t="s">
        <v>74</v>
      </c>
      <c r="E670" t="s">
        <v>74</v>
      </c>
      <c r="F670" t="s">
        <v>5744</v>
      </c>
      <c r="G670" t="s">
        <v>74</v>
      </c>
      <c r="H670" t="s">
        <v>74</v>
      </c>
      <c r="I670" t="s">
        <v>8341</v>
      </c>
      <c r="J670" t="s">
        <v>8342</v>
      </c>
      <c r="K670" t="s">
        <v>74</v>
      </c>
      <c r="L670" t="s">
        <v>74</v>
      </c>
      <c r="M670" t="s">
        <v>78</v>
      </c>
      <c r="N670" t="s">
        <v>3116</v>
      </c>
      <c r="O670" t="s">
        <v>74</v>
      </c>
      <c r="P670" t="s">
        <v>74</v>
      </c>
      <c r="Q670" t="s">
        <v>74</v>
      </c>
      <c r="R670" t="s">
        <v>74</v>
      </c>
      <c r="S670" t="s">
        <v>74</v>
      </c>
      <c r="T670" t="s">
        <v>74</v>
      </c>
      <c r="U670" t="s">
        <v>74</v>
      </c>
      <c r="V670" t="s">
        <v>74</v>
      </c>
      <c r="W670" t="s">
        <v>74</v>
      </c>
      <c r="X670" t="s">
        <v>74</v>
      </c>
      <c r="Y670" t="s">
        <v>74</v>
      </c>
      <c r="Z670" t="s">
        <v>74</v>
      </c>
      <c r="AA670" t="s">
        <v>74</v>
      </c>
      <c r="AB670" t="s">
        <v>74</v>
      </c>
      <c r="AC670" t="s">
        <v>74</v>
      </c>
      <c r="AD670" t="s">
        <v>74</v>
      </c>
      <c r="AE670" t="s">
        <v>74</v>
      </c>
      <c r="AF670" t="s">
        <v>74</v>
      </c>
      <c r="AG670">
        <v>0</v>
      </c>
      <c r="AH670">
        <v>0</v>
      </c>
      <c r="AI670">
        <v>0</v>
      </c>
      <c r="AJ670">
        <v>0</v>
      </c>
      <c r="AK670">
        <v>4</v>
      </c>
      <c r="AL670" t="s">
        <v>149</v>
      </c>
      <c r="AM670" t="s">
        <v>89</v>
      </c>
      <c r="AN670" t="s">
        <v>90</v>
      </c>
      <c r="AO670" t="s">
        <v>8343</v>
      </c>
      <c r="AP670" t="s">
        <v>8344</v>
      </c>
      <c r="AQ670" t="s">
        <v>74</v>
      </c>
      <c r="AR670" t="s">
        <v>8342</v>
      </c>
      <c r="AS670" t="s">
        <v>8345</v>
      </c>
      <c r="AT670" t="s">
        <v>7937</v>
      </c>
      <c r="AU670">
        <v>2008</v>
      </c>
      <c r="AV670">
        <v>36</v>
      </c>
      <c r="AW670">
        <v>4</v>
      </c>
      <c r="AX670" t="s">
        <v>74</v>
      </c>
      <c r="AY670" t="s">
        <v>74</v>
      </c>
      <c r="AZ670" t="s">
        <v>74</v>
      </c>
      <c r="BA670" t="s">
        <v>74</v>
      </c>
      <c r="BB670">
        <v>348</v>
      </c>
      <c r="BC670">
        <v>348</v>
      </c>
      <c r="BD670" t="s">
        <v>74</v>
      </c>
      <c r="BE670" t="s">
        <v>74</v>
      </c>
      <c r="BF670" t="s">
        <v>74</v>
      </c>
      <c r="BG670" t="s">
        <v>74</v>
      </c>
      <c r="BH670" t="s">
        <v>74</v>
      </c>
      <c r="BI670">
        <v>1</v>
      </c>
      <c r="BJ670" t="s">
        <v>8346</v>
      </c>
      <c r="BK670" t="s">
        <v>419</v>
      </c>
      <c r="BL670" t="s">
        <v>8347</v>
      </c>
      <c r="BM670" t="s">
        <v>8348</v>
      </c>
      <c r="BN670" t="s">
        <v>74</v>
      </c>
      <c r="BO670" t="s">
        <v>74</v>
      </c>
      <c r="BP670" t="s">
        <v>74</v>
      </c>
      <c r="BQ670" t="s">
        <v>74</v>
      </c>
      <c r="BR670" t="s">
        <v>101</v>
      </c>
      <c r="BS670" t="s">
        <v>8349</v>
      </c>
      <c r="BT670" t="str">
        <f>HYPERLINK("https%3A%2F%2Fwww.webofscience.com%2Fwos%2Fwoscc%2Ffull-record%2FWOS:000255344900013","View Full Record in Web of Science")</f>
        <v>View Full Record in Web of Science</v>
      </c>
    </row>
    <row r="671" spans="1:72" x14ac:dyDescent="0.15">
      <c r="A671" t="s">
        <v>72</v>
      </c>
      <c r="B671" t="s">
        <v>8350</v>
      </c>
      <c r="C671" t="s">
        <v>74</v>
      </c>
      <c r="D671" t="s">
        <v>74</v>
      </c>
      <c r="E671" t="s">
        <v>74</v>
      </c>
      <c r="F671" t="s">
        <v>8351</v>
      </c>
      <c r="G671" t="s">
        <v>74</v>
      </c>
      <c r="H671" t="s">
        <v>74</v>
      </c>
      <c r="I671" t="s">
        <v>8352</v>
      </c>
      <c r="J671" t="s">
        <v>4462</v>
      </c>
      <c r="K671" t="s">
        <v>74</v>
      </c>
      <c r="L671" t="s">
        <v>74</v>
      </c>
      <c r="M671" t="s">
        <v>78</v>
      </c>
      <c r="N671" t="s">
        <v>2958</v>
      </c>
      <c r="O671" t="s">
        <v>74</v>
      </c>
      <c r="P671" t="s">
        <v>74</v>
      </c>
      <c r="Q671" t="s">
        <v>74</v>
      </c>
      <c r="R671" t="s">
        <v>74</v>
      </c>
      <c r="S671" t="s">
        <v>74</v>
      </c>
      <c r="T671" t="s">
        <v>8353</v>
      </c>
      <c r="U671" t="s">
        <v>8354</v>
      </c>
      <c r="V671" t="s">
        <v>8355</v>
      </c>
      <c r="W671" t="s">
        <v>8356</v>
      </c>
      <c r="X671" t="s">
        <v>8357</v>
      </c>
      <c r="Y671" t="s">
        <v>8358</v>
      </c>
      <c r="Z671" t="s">
        <v>8359</v>
      </c>
      <c r="AA671" t="s">
        <v>74</v>
      </c>
      <c r="AB671" t="s">
        <v>74</v>
      </c>
      <c r="AC671" t="s">
        <v>74</v>
      </c>
      <c r="AD671" t="s">
        <v>74</v>
      </c>
      <c r="AE671" t="s">
        <v>74</v>
      </c>
      <c r="AF671" t="s">
        <v>74</v>
      </c>
      <c r="AG671">
        <v>123</v>
      </c>
      <c r="AH671">
        <v>16</v>
      </c>
      <c r="AI671">
        <v>21</v>
      </c>
      <c r="AJ671">
        <v>2</v>
      </c>
      <c r="AK671">
        <v>47</v>
      </c>
      <c r="AL671" t="s">
        <v>3933</v>
      </c>
      <c r="AM671" t="s">
        <v>3258</v>
      </c>
      <c r="AN671" t="s">
        <v>3934</v>
      </c>
      <c r="AO671" t="s">
        <v>4474</v>
      </c>
      <c r="AP671" t="s">
        <v>6282</v>
      </c>
      <c r="AQ671" t="s">
        <v>74</v>
      </c>
      <c r="AR671" t="s">
        <v>4475</v>
      </c>
      <c r="AS671" t="s">
        <v>4476</v>
      </c>
      <c r="AT671" t="s">
        <v>7937</v>
      </c>
      <c r="AU671">
        <v>2008</v>
      </c>
      <c r="AV671">
        <v>52</v>
      </c>
      <c r="AW671">
        <v>2</v>
      </c>
      <c r="AX671" t="s">
        <v>74</v>
      </c>
      <c r="AY671" t="s">
        <v>74</v>
      </c>
      <c r="AZ671" t="s">
        <v>74</v>
      </c>
      <c r="BA671" t="s">
        <v>74</v>
      </c>
      <c r="BB671">
        <v>101</v>
      </c>
      <c r="BC671">
        <v>117</v>
      </c>
      <c r="BD671" t="s">
        <v>74</v>
      </c>
      <c r="BE671" t="s">
        <v>8360</v>
      </c>
      <c r="BF671" t="str">
        <f>HYPERLINK("http://dx.doi.org/10.1016/j.coldregions.2008.01.001","http://dx.doi.org/10.1016/j.coldregions.2008.01.001")</f>
        <v>http://dx.doi.org/10.1016/j.coldregions.2008.01.001</v>
      </c>
      <c r="BG671" t="s">
        <v>74</v>
      </c>
      <c r="BH671" t="s">
        <v>74</v>
      </c>
      <c r="BI671">
        <v>17</v>
      </c>
      <c r="BJ671" t="s">
        <v>4479</v>
      </c>
      <c r="BK671" t="s">
        <v>419</v>
      </c>
      <c r="BL671" t="s">
        <v>4480</v>
      </c>
      <c r="BM671" t="s">
        <v>8361</v>
      </c>
      <c r="BN671" t="s">
        <v>74</v>
      </c>
      <c r="BO671" t="s">
        <v>3110</v>
      </c>
      <c r="BP671" t="s">
        <v>74</v>
      </c>
      <c r="BQ671" t="s">
        <v>74</v>
      </c>
      <c r="BR671" t="s">
        <v>101</v>
      </c>
      <c r="BS671" t="s">
        <v>8362</v>
      </c>
      <c r="BT671" t="str">
        <f>HYPERLINK("https%3A%2F%2Fwww.webofscience.com%2Fwos%2Fwoscc%2Ffull-record%2FWOS:000255234600002","View Full Record in Web of Science")</f>
        <v>View Full Record in Web of Science</v>
      </c>
    </row>
    <row r="672" spans="1:72" x14ac:dyDescent="0.15">
      <c r="A672" t="s">
        <v>72</v>
      </c>
      <c r="B672" t="s">
        <v>8363</v>
      </c>
      <c r="C672" t="s">
        <v>74</v>
      </c>
      <c r="D672" t="s">
        <v>74</v>
      </c>
      <c r="E672" t="s">
        <v>74</v>
      </c>
      <c r="F672" t="s">
        <v>8364</v>
      </c>
      <c r="G672" t="s">
        <v>74</v>
      </c>
      <c r="H672" t="s">
        <v>74</v>
      </c>
      <c r="I672" t="s">
        <v>8365</v>
      </c>
      <c r="J672" t="s">
        <v>4462</v>
      </c>
      <c r="K672" t="s">
        <v>74</v>
      </c>
      <c r="L672" t="s">
        <v>74</v>
      </c>
      <c r="M672" t="s">
        <v>78</v>
      </c>
      <c r="N672" t="s">
        <v>2737</v>
      </c>
      <c r="O672" t="s">
        <v>74</v>
      </c>
      <c r="P672" t="s">
        <v>74</v>
      </c>
      <c r="Q672" t="s">
        <v>74</v>
      </c>
      <c r="R672" t="s">
        <v>74</v>
      </c>
      <c r="S672" t="s">
        <v>74</v>
      </c>
      <c r="T672" t="s">
        <v>8366</v>
      </c>
      <c r="U672" t="s">
        <v>74</v>
      </c>
      <c r="V672" t="s">
        <v>8367</v>
      </c>
      <c r="W672" t="s">
        <v>8368</v>
      </c>
      <c r="X672" t="s">
        <v>8369</v>
      </c>
      <c r="Y672" t="s">
        <v>8370</v>
      </c>
      <c r="Z672" t="s">
        <v>8371</v>
      </c>
      <c r="AA672" t="s">
        <v>74</v>
      </c>
      <c r="AB672" t="s">
        <v>74</v>
      </c>
      <c r="AC672" t="s">
        <v>74</v>
      </c>
      <c r="AD672" t="s">
        <v>74</v>
      </c>
      <c r="AE672" t="s">
        <v>74</v>
      </c>
      <c r="AF672" t="s">
        <v>74</v>
      </c>
      <c r="AG672">
        <v>3</v>
      </c>
      <c r="AH672">
        <v>1</v>
      </c>
      <c r="AI672">
        <v>1</v>
      </c>
      <c r="AJ672">
        <v>1</v>
      </c>
      <c r="AK672">
        <v>7</v>
      </c>
      <c r="AL672" t="s">
        <v>3257</v>
      </c>
      <c r="AM672" t="s">
        <v>3258</v>
      </c>
      <c r="AN672" t="s">
        <v>3259</v>
      </c>
      <c r="AO672" t="s">
        <v>4474</v>
      </c>
      <c r="AP672" t="s">
        <v>74</v>
      </c>
      <c r="AQ672" t="s">
        <v>74</v>
      </c>
      <c r="AR672" t="s">
        <v>4475</v>
      </c>
      <c r="AS672" t="s">
        <v>4476</v>
      </c>
      <c r="AT672" t="s">
        <v>7937</v>
      </c>
      <c r="AU672">
        <v>2008</v>
      </c>
      <c r="AV672">
        <v>52</v>
      </c>
      <c r="AW672">
        <v>2</v>
      </c>
      <c r="AX672" t="s">
        <v>74</v>
      </c>
      <c r="AY672" t="s">
        <v>74</v>
      </c>
      <c r="AZ672" t="s">
        <v>74</v>
      </c>
      <c r="BA672" t="s">
        <v>74</v>
      </c>
      <c r="BB672">
        <v>166</v>
      </c>
      <c r="BC672">
        <v>176</v>
      </c>
      <c r="BD672" t="s">
        <v>74</v>
      </c>
      <c r="BE672" t="s">
        <v>8372</v>
      </c>
      <c r="BF672" t="str">
        <f>HYPERLINK("http://dx.doi.org/10.1016/j.coldregions.2007.03.006","http://dx.doi.org/10.1016/j.coldregions.2007.03.006")</f>
        <v>http://dx.doi.org/10.1016/j.coldregions.2007.03.006</v>
      </c>
      <c r="BG672" t="s">
        <v>74</v>
      </c>
      <c r="BH672" t="s">
        <v>74</v>
      </c>
      <c r="BI672">
        <v>11</v>
      </c>
      <c r="BJ672" t="s">
        <v>4479</v>
      </c>
      <c r="BK672" t="s">
        <v>419</v>
      </c>
      <c r="BL672" t="s">
        <v>4480</v>
      </c>
      <c r="BM672" t="s">
        <v>8361</v>
      </c>
      <c r="BN672" t="s">
        <v>74</v>
      </c>
      <c r="BO672" t="s">
        <v>74</v>
      </c>
      <c r="BP672" t="s">
        <v>74</v>
      </c>
      <c r="BQ672" t="s">
        <v>74</v>
      </c>
      <c r="BR672" t="s">
        <v>101</v>
      </c>
      <c r="BS672" t="s">
        <v>8373</v>
      </c>
      <c r="BT672" t="str">
        <f>HYPERLINK("https%3A%2F%2Fwww.webofscience.com%2Fwos%2Fwoscc%2Ffull-record%2FWOS:000255234600007","View Full Record in Web of Science")</f>
        <v>View Full Record in Web of Science</v>
      </c>
    </row>
    <row r="673" spans="1:72" x14ac:dyDescent="0.15">
      <c r="A673" t="s">
        <v>72</v>
      </c>
      <c r="B673" t="s">
        <v>8374</v>
      </c>
      <c r="C673" t="s">
        <v>74</v>
      </c>
      <c r="D673" t="s">
        <v>74</v>
      </c>
      <c r="E673" t="s">
        <v>74</v>
      </c>
      <c r="F673" t="s">
        <v>8375</v>
      </c>
      <c r="G673" t="s">
        <v>74</v>
      </c>
      <c r="H673" t="s">
        <v>74</v>
      </c>
      <c r="I673" t="s">
        <v>8376</v>
      </c>
      <c r="J673" t="s">
        <v>4462</v>
      </c>
      <c r="K673" t="s">
        <v>74</v>
      </c>
      <c r="L673" t="s">
        <v>74</v>
      </c>
      <c r="M673" t="s">
        <v>78</v>
      </c>
      <c r="N673" t="s">
        <v>2737</v>
      </c>
      <c r="O673" t="s">
        <v>74</v>
      </c>
      <c r="P673" t="s">
        <v>74</v>
      </c>
      <c r="Q673" t="s">
        <v>74</v>
      </c>
      <c r="R673" t="s">
        <v>74</v>
      </c>
      <c r="S673" t="s">
        <v>74</v>
      </c>
      <c r="T673" t="s">
        <v>8377</v>
      </c>
      <c r="U673" t="s">
        <v>74</v>
      </c>
      <c r="V673" t="s">
        <v>8378</v>
      </c>
      <c r="W673" t="s">
        <v>8379</v>
      </c>
      <c r="X673" t="s">
        <v>8369</v>
      </c>
      <c r="Y673" t="s">
        <v>8380</v>
      </c>
      <c r="Z673" t="s">
        <v>8381</v>
      </c>
      <c r="AA673" t="s">
        <v>74</v>
      </c>
      <c r="AB673" t="s">
        <v>74</v>
      </c>
      <c r="AC673" t="s">
        <v>74</v>
      </c>
      <c r="AD673" t="s">
        <v>74</v>
      </c>
      <c r="AE673" t="s">
        <v>74</v>
      </c>
      <c r="AF673" t="s">
        <v>74</v>
      </c>
      <c r="AG673">
        <v>12</v>
      </c>
      <c r="AH673">
        <v>1</v>
      </c>
      <c r="AI673">
        <v>1</v>
      </c>
      <c r="AJ673">
        <v>0</v>
      </c>
      <c r="AK673">
        <v>4</v>
      </c>
      <c r="AL673" t="s">
        <v>3257</v>
      </c>
      <c r="AM673" t="s">
        <v>3258</v>
      </c>
      <c r="AN673" t="s">
        <v>3259</v>
      </c>
      <c r="AO673" t="s">
        <v>4474</v>
      </c>
      <c r="AP673" t="s">
        <v>6282</v>
      </c>
      <c r="AQ673" t="s">
        <v>74</v>
      </c>
      <c r="AR673" t="s">
        <v>4475</v>
      </c>
      <c r="AS673" t="s">
        <v>4476</v>
      </c>
      <c r="AT673" t="s">
        <v>7937</v>
      </c>
      <c r="AU673">
        <v>2008</v>
      </c>
      <c r="AV673">
        <v>52</v>
      </c>
      <c r="AW673">
        <v>2</v>
      </c>
      <c r="AX673" t="s">
        <v>74</v>
      </c>
      <c r="AY673" t="s">
        <v>74</v>
      </c>
      <c r="AZ673" t="s">
        <v>74</v>
      </c>
      <c r="BA673" t="s">
        <v>74</v>
      </c>
      <c r="BB673">
        <v>254</v>
      </c>
      <c r="BC673">
        <v>261</v>
      </c>
      <c r="BD673" t="s">
        <v>74</v>
      </c>
      <c r="BE673" t="s">
        <v>8382</v>
      </c>
      <c r="BF673" t="str">
        <f>HYPERLINK("http://dx.doi.org/10.1016/j.coldregions.2007.05.007","http://dx.doi.org/10.1016/j.coldregions.2007.05.007")</f>
        <v>http://dx.doi.org/10.1016/j.coldregions.2007.05.007</v>
      </c>
      <c r="BG673" t="s">
        <v>74</v>
      </c>
      <c r="BH673" t="s">
        <v>74</v>
      </c>
      <c r="BI673">
        <v>8</v>
      </c>
      <c r="BJ673" t="s">
        <v>4479</v>
      </c>
      <c r="BK673" t="s">
        <v>419</v>
      </c>
      <c r="BL673" t="s">
        <v>4480</v>
      </c>
      <c r="BM673" t="s">
        <v>8361</v>
      </c>
      <c r="BN673" t="s">
        <v>74</v>
      </c>
      <c r="BO673" t="s">
        <v>74</v>
      </c>
      <c r="BP673" t="s">
        <v>74</v>
      </c>
      <c r="BQ673" t="s">
        <v>74</v>
      </c>
      <c r="BR673" t="s">
        <v>101</v>
      </c>
      <c r="BS673" t="s">
        <v>8383</v>
      </c>
      <c r="BT673" t="str">
        <f>HYPERLINK("https%3A%2F%2Fwww.webofscience.com%2Fwos%2Fwoscc%2Ffull-record%2FWOS:000255234600013","View Full Record in Web of Science")</f>
        <v>View Full Record in Web of Science</v>
      </c>
    </row>
    <row r="674" spans="1:72" x14ac:dyDescent="0.15">
      <c r="A674" t="s">
        <v>72</v>
      </c>
      <c r="B674" t="s">
        <v>8384</v>
      </c>
      <c r="C674" t="s">
        <v>74</v>
      </c>
      <c r="D674" t="s">
        <v>74</v>
      </c>
      <c r="E674" t="s">
        <v>74</v>
      </c>
      <c r="F674" t="s">
        <v>8385</v>
      </c>
      <c r="G674" t="s">
        <v>74</v>
      </c>
      <c r="H674" t="s">
        <v>74</v>
      </c>
      <c r="I674" t="s">
        <v>8386</v>
      </c>
      <c r="J674" t="s">
        <v>8387</v>
      </c>
      <c r="K674" t="s">
        <v>74</v>
      </c>
      <c r="L674" t="s">
        <v>74</v>
      </c>
      <c r="M674" t="s">
        <v>78</v>
      </c>
      <c r="N674" t="s">
        <v>2737</v>
      </c>
      <c r="O674" t="s">
        <v>74</v>
      </c>
      <c r="P674" t="s">
        <v>74</v>
      </c>
      <c r="Q674" t="s">
        <v>74</v>
      </c>
      <c r="R674" t="s">
        <v>74</v>
      </c>
      <c r="S674" t="s">
        <v>74</v>
      </c>
      <c r="T674" t="s">
        <v>8388</v>
      </c>
      <c r="U674" t="s">
        <v>8389</v>
      </c>
      <c r="V674" t="s">
        <v>8390</v>
      </c>
      <c r="W674" t="s">
        <v>8391</v>
      </c>
      <c r="X674" t="s">
        <v>5671</v>
      </c>
      <c r="Y674" t="s">
        <v>8392</v>
      </c>
      <c r="Z674" t="s">
        <v>8393</v>
      </c>
      <c r="AA674" t="s">
        <v>8394</v>
      </c>
      <c r="AB674" t="s">
        <v>8395</v>
      </c>
      <c r="AC674" t="s">
        <v>74</v>
      </c>
      <c r="AD674" t="s">
        <v>74</v>
      </c>
      <c r="AE674" t="s">
        <v>74</v>
      </c>
      <c r="AF674" t="s">
        <v>74</v>
      </c>
      <c r="AG674">
        <v>43</v>
      </c>
      <c r="AH674">
        <v>15</v>
      </c>
      <c r="AI674">
        <v>15</v>
      </c>
      <c r="AJ674">
        <v>0</v>
      </c>
      <c r="AK674">
        <v>13</v>
      </c>
      <c r="AL674" t="s">
        <v>3979</v>
      </c>
      <c r="AM674" t="s">
        <v>2747</v>
      </c>
      <c r="AN674" t="s">
        <v>4520</v>
      </c>
      <c r="AO674" t="s">
        <v>8396</v>
      </c>
      <c r="AP674" t="s">
        <v>8397</v>
      </c>
      <c r="AQ674" t="s">
        <v>74</v>
      </c>
      <c r="AR674" t="s">
        <v>8398</v>
      </c>
      <c r="AS674" t="s">
        <v>8399</v>
      </c>
      <c r="AT674" t="s">
        <v>7937</v>
      </c>
      <c r="AU674">
        <v>2008</v>
      </c>
      <c r="AV674">
        <v>149</v>
      </c>
      <c r="AW674">
        <v>4</v>
      </c>
      <c r="AX674" t="s">
        <v>74</v>
      </c>
      <c r="AY674" t="s">
        <v>74</v>
      </c>
      <c r="AZ674" t="s">
        <v>74</v>
      </c>
      <c r="BA674" t="s">
        <v>74</v>
      </c>
      <c r="BB674">
        <v>426</v>
      </c>
      <c r="BC674">
        <v>434</v>
      </c>
      <c r="BD674" t="s">
        <v>74</v>
      </c>
      <c r="BE674" t="s">
        <v>8400</v>
      </c>
      <c r="BF674" t="str">
        <f>HYPERLINK("http://dx.doi.org/10.1016/j.cbpa.2008.02.001","http://dx.doi.org/10.1016/j.cbpa.2008.02.001")</f>
        <v>http://dx.doi.org/10.1016/j.cbpa.2008.02.001</v>
      </c>
      <c r="BG674" t="s">
        <v>74</v>
      </c>
      <c r="BH674" t="s">
        <v>74</v>
      </c>
      <c r="BI674">
        <v>9</v>
      </c>
      <c r="BJ674" t="s">
        <v>8401</v>
      </c>
      <c r="BK674" t="s">
        <v>419</v>
      </c>
      <c r="BL674" t="s">
        <v>8401</v>
      </c>
      <c r="BM674" t="s">
        <v>8402</v>
      </c>
      <c r="BN674">
        <v>18328756</v>
      </c>
      <c r="BO674" t="s">
        <v>74</v>
      </c>
      <c r="BP674" t="s">
        <v>74</v>
      </c>
      <c r="BQ674" t="s">
        <v>74</v>
      </c>
      <c r="BR674" t="s">
        <v>101</v>
      </c>
      <c r="BS674" t="s">
        <v>8403</v>
      </c>
      <c r="BT674" t="str">
        <f>HYPERLINK("https%3A%2F%2Fwww.webofscience.com%2Fwos%2Fwoscc%2Ffull-record%2FWOS:000255382500011","View Full Record in Web of Science")</f>
        <v>View Full Record in Web of Science</v>
      </c>
    </row>
    <row r="675" spans="1:72" x14ac:dyDescent="0.15">
      <c r="A675" t="s">
        <v>72</v>
      </c>
      <c r="B675" t="s">
        <v>8404</v>
      </c>
      <c r="C675" t="s">
        <v>74</v>
      </c>
      <c r="D675" t="s">
        <v>74</v>
      </c>
      <c r="E675" t="s">
        <v>74</v>
      </c>
      <c r="F675" t="s">
        <v>8405</v>
      </c>
      <c r="G675" t="s">
        <v>74</v>
      </c>
      <c r="H675" t="s">
        <v>74</v>
      </c>
      <c r="I675" t="s">
        <v>8406</v>
      </c>
      <c r="J675" t="s">
        <v>4532</v>
      </c>
      <c r="K675" t="s">
        <v>74</v>
      </c>
      <c r="L675" t="s">
        <v>74</v>
      </c>
      <c r="M675" t="s">
        <v>78</v>
      </c>
      <c r="N675" t="s">
        <v>2737</v>
      </c>
      <c r="O675" t="s">
        <v>74</v>
      </c>
      <c r="P675" t="s">
        <v>74</v>
      </c>
      <c r="Q675" t="s">
        <v>74</v>
      </c>
      <c r="R675" t="s">
        <v>74</v>
      </c>
      <c r="S675" t="s">
        <v>74</v>
      </c>
      <c r="T675" t="s">
        <v>8407</v>
      </c>
      <c r="U675" t="s">
        <v>8408</v>
      </c>
      <c r="V675" t="s">
        <v>8409</v>
      </c>
      <c r="W675" t="s">
        <v>8410</v>
      </c>
      <c r="X675" t="s">
        <v>8411</v>
      </c>
      <c r="Y675" t="s">
        <v>8412</v>
      </c>
      <c r="Z675" t="s">
        <v>8048</v>
      </c>
      <c r="AA675" t="s">
        <v>8413</v>
      </c>
      <c r="AB675" t="s">
        <v>8414</v>
      </c>
      <c r="AC675" t="s">
        <v>74</v>
      </c>
      <c r="AD675" t="s">
        <v>74</v>
      </c>
      <c r="AE675" t="s">
        <v>74</v>
      </c>
      <c r="AF675" t="s">
        <v>74</v>
      </c>
      <c r="AG675">
        <v>45</v>
      </c>
      <c r="AH675">
        <v>45</v>
      </c>
      <c r="AI675">
        <v>51</v>
      </c>
      <c r="AJ675">
        <v>0</v>
      </c>
      <c r="AK675">
        <v>72</v>
      </c>
      <c r="AL675" t="s">
        <v>3007</v>
      </c>
      <c r="AM675" t="s">
        <v>3008</v>
      </c>
      <c r="AN675" t="s">
        <v>3009</v>
      </c>
      <c r="AO675" t="s">
        <v>4540</v>
      </c>
      <c r="AP675" t="s">
        <v>8415</v>
      </c>
      <c r="AQ675" t="s">
        <v>74</v>
      </c>
      <c r="AR675" t="s">
        <v>4541</v>
      </c>
      <c r="AS675" t="s">
        <v>4542</v>
      </c>
      <c r="AT675" t="s">
        <v>7937</v>
      </c>
      <c r="AU675">
        <v>2008</v>
      </c>
      <c r="AV675">
        <v>55</v>
      </c>
      <c r="AW675">
        <v>4</v>
      </c>
      <c r="AX675" t="s">
        <v>74</v>
      </c>
      <c r="AY675" t="s">
        <v>74</v>
      </c>
      <c r="AZ675" t="s">
        <v>74</v>
      </c>
      <c r="BA675" t="s">
        <v>74</v>
      </c>
      <c r="BB675">
        <v>519</v>
      </c>
      <c r="BC675">
        <v>531</v>
      </c>
      <c r="BD675" t="s">
        <v>74</v>
      </c>
      <c r="BE675" t="s">
        <v>8416</v>
      </c>
      <c r="BF675" t="str">
        <f>HYPERLINK("http://dx.doi.org/10.1016/j.dsr.2008.01.005","http://dx.doi.org/10.1016/j.dsr.2008.01.005")</f>
        <v>http://dx.doi.org/10.1016/j.dsr.2008.01.005</v>
      </c>
      <c r="BG675" t="s">
        <v>74</v>
      </c>
      <c r="BH675" t="s">
        <v>74</v>
      </c>
      <c r="BI675">
        <v>13</v>
      </c>
      <c r="BJ675" t="s">
        <v>3447</v>
      </c>
      <c r="BK675" t="s">
        <v>419</v>
      </c>
      <c r="BL675" t="s">
        <v>3447</v>
      </c>
      <c r="BM675" t="s">
        <v>8417</v>
      </c>
      <c r="BN675" t="s">
        <v>74</v>
      </c>
      <c r="BO675" t="s">
        <v>74</v>
      </c>
      <c r="BP675" t="s">
        <v>74</v>
      </c>
      <c r="BQ675" t="s">
        <v>74</v>
      </c>
      <c r="BR675" t="s">
        <v>101</v>
      </c>
      <c r="BS675" t="s">
        <v>8418</v>
      </c>
      <c r="BT675" t="str">
        <f>HYPERLINK("https%3A%2F%2Fwww.webofscience.com%2Fwos%2Fwoscc%2Ffull-record%2FWOS:000255734300010","View Full Record in Web of Science")</f>
        <v>View Full Record in Web of Science</v>
      </c>
    </row>
    <row r="676" spans="1:72" x14ac:dyDescent="0.15">
      <c r="A676" t="s">
        <v>72</v>
      </c>
      <c r="B676" t="s">
        <v>8419</v>
      </c>
      <c r="C676" t="s">
        <v>74</v>
      </c>
      <c r="D676" t="s">
        <v>74</v>
      </c>
      <c r="E676" t="s">
        <v>74</v>
      </c>
      <c r="F676" t="s">
        <v>8420</v>
      </c>
      <c r="G676" t="s">
        <v>74</v>
      </c>
      <c r="H676" t="s">
        <v>74</v>
      </c>
      <c r="I676" t="s">
        <v>8421</v>
      </c>
      <c r="J676" t="s">
        <v>8422</v>
      </c>
      <c r="K676" t="s">
        <v>74</v>
      </c>
      <c r="L676" t="s">
        <v>74</v>
      </c>
      <c r="M676" t="s">
        <v>78</v>
      </c>
      <c r="N676" t="s">
        <v>2737</v>
      </c>
      <c r="O676" t="s">
        <v>74</v>
      </c>
      <c r="P676" t="s">
        <v>74</v>
      </c>
      <c r="Q676" t="s">
        <v>74</v>
      </c>
      <c r="R676" t="s">
        <v>74</v>
      </c>
      <c r="S676" t="s">
        <v>74</v>
      </c>
      <c r="T676" t="s">
        <v>8423</v>
      </c>
      <c r="U676" t="s">
        <v>8424</v>
      </c>
      <c r="V676" t="s">
        <v>8425</v>
      </c>
      <c r="W676" t="s">
        <v>8426</v>
      </c>
      <c r="X676" t="s">
        <v>8427</v>
      </c>
      <c r="Y676" t="s">
        <v>8428</v>
      </c>
      <c r="Z676" t="s">
        <v>8429</v>
      </c>
      <c r="AA676" t="s">
        <v>8430</v>
      </c>
      <c r="AB676" t="s">
        <v>74</v>
      </c>
      <c r="AC676" t="s">
        <v>74</v>
      </c>
      <c r="AD676" t="s">
        <v>74</v>
      </c>
      <c r="AE676" t="s">
        <v>74</v>
      </c>
      <c r="AF676" t="s">
        <v>74</v>
      </c>
      <c r="AG676">
        <v>31</v>
      </c>
      <c r="AH676">
        <v>63</v>
      </c>
      <c r="AI676">
        <v>67</v>
      </c>
      <c r="AJ676">
        <v>0</v>
      </c>
      <c r="AK676">
        <v>10</v>
      </c>
      <c r="AL676" t="s">
        <v>88</v>
      </c>
      <c r="AM676" t="s">
        <v>89</v>
      </c>
      <c r="AN676" t="s">
        <v>90</v>
      </c>
      <c r="AO676" t="s">
        <v>8431</v>
      </c>
      <c r="AP676" t="s">
        <v>8432</v>
      </c>
      <c r="AQ676" t="s">
        <v>74</v>
      </c>
      <c r="AR676" t="s">
        <v>8433</v>
      </c>
      <c r="AS676" t="s">
        <v>8434</v>
      </c>
      <c r="AT676" t="s">
        <v>7937</v>
      </c>
      <c r="AU676">
        <v>2008</v>
      </c>
      <c r="AV676">
        <v>33</v>
      </c>
      <c r="AW676">
        <v>4</v>
      </c>
      <c r="AX676" t="s">
        <v>74</v>
      </c>
      <c r="AY676" t="s">
        <v>74</v>
      </c>
      <c r="AZ676" t="s">
        <v>74</v>
      </c>
      <c r="BA676" t="s">
        <v>74</v>
      </c>
      <c r="BB676">
        <v>503</v>
      </c>
      <c r="BC676">
        <v>512</v>
      </c>
      <c r="BD676" t="s">
        <v>74</v>
      </c>
      <c r="BE676" t="s">
        <v>8435</v>
      </c>
      <c r="BF676" t="str">
        <f>HYPERLINK("http://dx.doi.org/10.1002/esp.1662","http://dx.doi.org/10.1002/esp.1662")</f>
        <v>http://dx.doi.org/10.1002/esp.1662</v>
      </c>
      <c r="BG676" t="s">
        <v>74</v>
      </c>
      <c r="BH676" t="s">
        <v>74</v>
      </c>
      <c r="BI676">
        <v>10</v>
      </c>
      <c r="BJ676" t="s">
        <v>3015</v>
      </c>
      <c r="BK676" t="s">
        <v>419</v>
      </c>
      <c r="BL676" t="s">
        <v>3016</v>
      </c>
      <c r="BM676" t="s">
        <v>8436</v>
      </c>
      <c r="BN676" t="s">
        <v>74</v>
      </c>
      <c r="BO676" t="s">
        <v>3290</v>
      </c>
      <c r="BP676" t="s">
        <v>74</v>
      </c>
      <c r="BQ676" t="s">
        <v>74</v>
      </c>
      <c r="BR676" t="s">
        <v>101</v>
      </c>
      <c r="BS676" t="s">
        <v>8437</v>
      </c>
      <c r="BT676" t="str">
        <f>HYPERLINK("https%3A%2F%2Fwww.webofscience.com%2Fwos%2Fwoscc%2Ffull-record%2FWOS:000255080500002","View Full Record in Web of Science")</f>
        <v>View Full Record in Web of Science</v>
      </c>
    </row>
    <row r="677" spans="1:72" x14ac:dyDescent="0.15">
      <c r="A677" t="s">
        <v>72</v>
      </c>
      <c r="B677" t="s">
        <v>8438</v>
      </c>
      <c r="C677" t="s">
        <v>74</v>
      </c>
      <c r="D677" t="s">
        <v>74</v>
      </c>
      <c r="E677" t="s">
        <v>74</v>
      </c>
      <c r="F677" t="s">
        <v>8439</v>
      </c>
      <c r="G677" t="s">
        <v>74</v>
      </c>
      <c r="H677" t="s">
        <v>74</v>
      </c>
      <c r="I677" t="s">
        <v>8440</v>
      </c>
      <c r="J677" t="s">
        <v>8422</v>
      </c>
      <c r="K677" t="s">
        <v>74</v>
      </c>
      <c r="L677" t="s">
        <v>74</v>
      </c>
      <c r="M677" t="s">
        <v>78</v>
      </c>
      <c r="N677" t="s">
        <v>2737</v>
      </c>
      <c r="O677" t="s">
        <v>74</v>
      </c>
      <c r="P677" t="s">
        <v>74</v>
      </c>
      <c r="Q677" t="s">
        <v>74</v>
      </c>
      <c r="R677" t="s">
        <v>74</v>
      </c>
      <c r="S677" t="s">
        <v>74</v>
      </c>
      <c r="T677" t="s">
        <v>8441</v>
      </c>
      <c r="U677" t="s">
        <v>8442</v>
      </c>
      <c r="V677" t="s">
        <v>8443</v>
      </c>
      <c r="W677" t="s">
        <v>8444</v>
      </c>
      <c r="X677" t="s">
        <v>8445</v>
      </c>
      <c r="Y677" t="s">
        <v>8446</v>
      </c>
      <c r="Z677" t="s">
        <v>8447</v>
      </c>
      <c r="AA677" t="s">
        <v>8448</v>
      </c>
      <c r="AB677" t="s">
        <v>8449</v>
      </c>
      <c r="AC677" t="s">
        <v>8450</v>
      </c>
      <c r="AD677" t="s">
        <v>3604</v>
      </c>
      <c r="AE677" t="s">
        <v>74</v>
      </c>
      <c r="AF677" t="s">
        <v>74</v>
      </c>
      <c r="AG677">
        <v>46</v>
      </c>
      <c r="AH677">
        <v>100</v>
      </c>
      <c r="AI677">
        <v>109</v>
      </c>
      <c r="AJ677">
        <v>1</v>
      </c>
      <c r="AK677">
        <v>19</v>
      </c>
      <c r="AL677" t="s">
        <v>88</v>
      </c>
      <c r="AM677" t="s">
        <v>89</v>
      </c>
      <c r="AN677" t="s">
        <v>90</v>
      </c>
      <c r="AO677" t="s">
        <v>8431</v>
      </c>
      <c r="AP677" t="s">
        <v>8432</v>
      </c>
      <c r="AQ677" t="s">
        <v>74</v>
      </c>
      <c r="AR677" t="s">
        <v>8433</v>
      </c>
      <c r="AS677" t="s">
        <v>8434</v>
      </c>
      <c r="AT677" t="s">
        <v>7937</v>
      </c>
      <c r="AU677">
        <v>2008</v>
      </c>
      <c r="AV677">
        <v>33</v>
      </c>
      <c r="AW677">
        <v>4</v>
      </c>
      <c r="AX677" t="s">
        <v>74</v>
      </c>
      <c r="AY677" t="s">
        <v>74</v>
      </c>
      <c r="AZ677" t="s">
        <v>74</v>
      </c>
      <c r="BA677" t="s">
        <v>74</v>
      </c>
      <c r="BB677">
        <v>513</v>
      </c>
      <c r="BC677">
        <v>525</v>
      </c>
      <c r="BD677" t="s">
        <v>74</v>
      </c>
      <c r="BE677" t="s">
        <v>8451</v>
      </c>
      <c r="BF677" t="str">
        <f>HYPERLINK("http://dx.doi.org/10.1002/esp.1669","http://dx.doi.org/10.1002/esp.1669")</f>
        <v>http://dx.doi.org/10.1002/esp.1669</v>
      </c>
      <c r="BG677" t="s">
        <v>74</v>
      </c>
      <c r="BH677" t="s">
        <v>74</v>
      </c>
      <c r="BI677">
        <v>13</v>
      </c>
      <c r="BJ677" t="s">
        <v>3015</v>
      </c>
      <c r="BK677" t="s">
        <v>419</v>
      </c>
      <c r="BL677" t="s">
        <v>3016</v>
      </c>
      <c r="BM677" t="s">
        <v>8436</v>
      </c>
      <c r="BN677" t="s">
        <v>74</v>
      </c>
      <c r="BO677" t="s">
        <v>74</v>
      </c>
      <c r="BP677" t="s">
        <v>74</v>
      </c>
      <c r="BQ677" t="s">
        <v>74</v>
      </c>
      <c r="BR677" t="s">
        <v>101</v>
      </c>
      <c r="BS677" t="s">
        <v>8452</v>
      </c>
      <c r="BT677" t="str">
        <f>HYPERLINK("https%3A%2F%2Fwww.webofscience.com%2Fwos%2Fwoscc%2Ffull-record%2FWOS:000255080500003","View Full Record in Web of Science")</f>
        <v>View Full Record in Web of Science</v>
      </c>
    </row>
    <row r="678" spans="1:72" x14ac:dyDescent="0.15">
      <c r="A678" t="s">
        <v>72</v>
      </c>
      <c r="B678" t="s">
        <v>8453</v>
      </c>
      <c r="C678" t="s">
        <v>74</v>
      </c>
      <c r="D678" t="s">
        <v>74</v>
      </c>
      <c r="E678" t="s">
        <v>74</v>
      </c>
      <c r="F678" t="s">
        <v>8454</v>
      </c>
      <c r="G678" t="s">
        <v>74</v>
      </c>
      <c r="H678" t="s">
        <v>74</v>
      </c>
      <c r="I678" t="s">
        <v>8455</v>
      </c>
      <c r="J678" t="s">
        <v>8422</v>
      </c>
      <c r="K678" t="s">
        <v>74</v>
      </c>
      <c r="L678" t="s">
        <v>74</v>
      </c>
      <c r="M678" t="s">
        <v>78</v>
      </c>
      <c r="N678" t="s">
        <v>2737</v>
      </c>
      <c r="O678" t="s">
        <v>74</v>
      </c>
      <c r="P678" t="s">
        <v>74</v>
      </c>
      <c r="Q678" t="s">
        <v>74</v>
      </c>
      <c r="R678" t="s">
        <v>74</v>
      </c>
      <c r="S678" t="s">
        <v>74</v>
      </c>
      <c r="T678" t="s">
        <v>8456</v>
      </c>
      <c r="U678" t="s">
        <v>8457</v>
      </c>
      <c r="V678" t="s">
        <v>8458</v>
      </c>
      <c r="W678" t="s">
        <v>8459</v>
      </c>
      <c r="X678" t="s">
        <v>8460</v>
      </c>
      <c r="Y678" t="s">
        <v>8461</v>
      </c>
      <c r="Z678" t="s">
        <v>8462</v>
      </c>
      <c r="AA678" t="s">
        <v>8463</v>
      </c>
      <c r="AB678" t="s">
        <v>8464</v>
      </c>
      <c r="AC678" t="s">
        <v>8465</v>
      </c>
      <c r="AD678" t="s">
        <v>2792</v>
      </c>
      <c r="AE678" t="s">
        <v>74</v>
      </c>
      <c r="AF678" t="s">
        <v>74</v>
      </c>
      <c r="AG678">
        <v>48</v>
      </c>
      <c r="AH678">
        <v>24</v>
      </c>
      <c r="AI678">
        <v>27</v>
      </c>
      <c r="AJ678">
        <v>0</v>
      </c>
      <c r="AK678">
        <v>15</v>
      </c>
      <c r="AL678" t="s">
        <v>88</v>
      </c>
      <c r="AM678" t="s">
        <v>89</v>
      </c>
      <c r="AN678" t="s">
        <v>90</v>
      </c>
      <c r="AO678" t="s">
        <v>8431</v>
      </c>
      <c r="AP678" t="s">
        <v>8432</v>
      </c>
      <c r="AQ678" t="s">
        <v>74</v>
      </c>
      <c r="AR678" t="s">
        <v>8433</v>
      </c>
      <c r="AS678" t="s">
        <v>8434</v>
      </c>
      <c r="AT678" t="s">
        <v>7937</v>
      </c>
      <c r="AU678">
        <v>2008</v>
      </c>
      <c r="AV678">
        <v>33</v>
      </c>
      <c r="AW678">
        <v>4</v>
      </c>
      <c r="AX678" t="s">
        <v>74</v>
      </c>
      <c r="AY678" t="s">
        <v>74</v>
      </c>
      <c r="AZ678" t="s">
        <v>74</v>
      </c>
      <c r="BA678" t="s">
        <v>74</v>
      </c>
      <c r="BB678">
        <v>610</v>
      </c>
      <c r="BC678">
        <v>626</v>
      </c>
      <c r="BD678" t="s">
        <v>74</v>
      </c>
      <c r="BE678" t="s">
        <v>8466</v>
      </c>
      <c r="BF678" t="str">
        <f>HYPERLINK("http://dx.doi.org/10.1002/esp.1665","http://dx.doi.org/10.1002/esp.1665")</f>
        <v>http://dx.doi.org/10.1002/esp.1665</v>
      </c>
      <c r="BG678" t="s">
        <v>74</v>
      </c>
      <c r="BH678" t="s">
        <v>74</v>
      </c>
      <c r="BI678">
        <v>17</v>
      </c>
      <c r="BJ678" t="s">
        <v>3015</v>
      </c>
      <c r="BK678" t="s">
        <v>419</v>
      </c>
      <c r="BL678" t="s">
        <v>3016</v>
      </c>
      <c r="BM678" t="s">
        <v>8436</v>
      </c>
      <c r="BN678" t="s">
        <v>74</v>
      </c>
      <c r="BO678" t="s">
        <v>3033</v>
      </c>
      <c r="BP678" t="s">
        <v>74</v>
      </c>
      <c r="BQ678" t="s">
        <v>74</v>
      </c>
      <c r="BR678" t="s">
        <v>101</v>
      </c>
      <c r="BS678" t="s">
        <v>8467</v>
      </c>
      <c r="BT678" t="str">
        <f>HYPERLINK("https%3A%2F%2Fwww.webofscience.com%2Fwos%2Fwoscc%2Ffull-record%2FWOS:000255080500009","View Full Record in Web of Science")</f>
        <v>View Full Record in Web of Science</v>
      </c>
    </row>
    <row r="679" spans="1:72" x14ac:dyDescent="0.15">
      <c r="A679" t="s">
        <v>72</v>
      </c>
      <c r="B679" t="s">
        <v>8468</v>
      </c>
      <c r="C679" t="s">
        <v>74</v>
      </c>
      <c r="D679" t="s">
        <v>74</v>
      </c>
      <c r="E679" t="s">
        <v>74</v>
      </c>
      <c r="F679" t="s">
        <v>8469</v>
      </c>
      <c r="G679" t="s">
        <v>74</v>
      </c>
      <c r="H679" t="s">
        <v>74</v>
      </c>
      <c r="I679" t="s">
        <v>8470</v>
      </c>
      <c r="J679" t="s">
        <v>8422</v>
      </c>
      <c r="K679" t="s">
        <v>74</v>
      </c>
      <c r="L679" t="s">
        <v>74</v>
      </c>
      <c r="M679" t="s">
        <v>78</v>
      </c>
      <c r="N679" t="s">
        <v>2737</v>
      </c>
      <c r="O679" t="s">
        <v>74</v>
      </c>
      <c r="P679" t="s">
        <v>74</v>
      </c>
      <c r="Q679" t="s">
        <v>74</v>
      </c>
      <c r="R679" t="s">
        <v>74</v>
      </c>
      <c r="S679" t="s">
        <v>74</v>
      </c>
      <c r="T679" t="s">
        <v>8471</v>
      </c>
      <c r="U679" t="s">
        <v>8472</v>
      </c>
      <c r="V679" t="s">
        <v>8473</v>
      </c>
      <c r="W679" t="s">
        <v>8474</v>
      </c>
      <c r="X679" t="s">
        <v>8475</v>
      </c>
      <c r="Y679" t="s">
        <v>8476</v>
      </c>
      <c r="Z679" t="s">
        <v>8477</v>
      </c>
      <c r="AA679" t="s">
        <v>8478</v>
      </c>
      <c r="AB679" t="s">
        <v>8479</v>
      </c>
      <c r="AC679" t="s">
        <v>8480</v>
      </c>
      <c r="AD679" t="s">
        <v>2792</v>
      </c>
      <c r="AE679" t="s">
        <v>74</v>
      </c>
      <c r="AF679" t="s">
        <v>74</v>
      </c>
      <c r="AG679">
        <v>70</v>
      </c>
      <c r="AH679">
        <v>25</v>
      </c>
      <c r="AI679">
        <v>28</v>
      </c>
      <c r="AJ679">
        <v>1</v>
      </c>
      <c r="AK679">
        <v>16</v>
      </c>
      <c r="AL679" t="s">
        <v>88</v>
      </c>
      <c r="AM679" t="s">
        <v>89</v>
      </c>
      <c r="AN679" t="s">
        <v>90</v>
      </c>
      <c r="AO679" t="s">
        <v>8431</v>
      </c>
      <c r="AP679" t="s">
        <v>8432</v>
      </c>
      <c r="AQ679" t="s">
        <v>74</v>
      </c>
      <c r="AR679" t="s">
        <v>8433</v>
      </c>
      <c r="AS679" t="s">
        <v>8434</v>
      </c>
      <c r="AT679" t="s">
        <v>7937</v>
      </c>
      <c r="AU679">
        <v>2008</v>
      </c>
      <c r="AV679">
        <v>33</v>
      </c>
      <c r="AW679">
        <v>4</v>
      </c>
      <c r="AX679" t="s">
        <v>74</v>
      </c>
      <c r="AY679" t="s">
        <v>74</v>
      </c>
      <c r="AZ679" t="s">
        <v>74</v>
      </c>
      <c r="BA679" t="s">
        <v>74</v>
      </c>
      <c r="BB679">
        <v>646</v>
      </c>
      <c r="BC679">
        <v>660</v>
      </c>
      <c r="BD679" t="s">
        <v>74</v>
      </c>
      <c r="BE679" t="s">
        <v>8481</v>
      </c>
      <c r="BF679" t="str">
        <f>HYPERLINK("http://dx.doi.org/10.1002/esp.1670","http://dx.doi.org/10.1002/esp.1670")</f>
        <v>http://dx.doi.org/10.1002/esp.1670</v>
      </c>
      <c r="BG679" t="s">
        <v>74</v>
      </c>
      <c r="BH679" t="s">
        <v>74</v>
      </c>
      <c r="BI679">
        <v>15</v>
      </c>
      <c r="BJ679" t="s">
        <v>3015</v>
      </c>
      <c r="BK679" t="s">
        <v>419</v>
      </c>
      <c r="BL679" t="s">
        <v>3016</v>
      </c>
      <c r="BM679" t="s">
        <v>8436</v>
      </c>
      <c r="BN679" t="s">
        <v>74</v>
      </c>
      <c r="BO679" t="s">
        <v>74</v>
      </c>
      <c r="BP679" t="s">
        <v>74</v>
      </c>
      <c r="BQ679" t="s">
        <v>74</v>
      </c>
      <c r="BR679" t="s">
        <v>101</v>
      </c>
      <c r="BS679" t="s">
        <v>8482</v>
      </c>
      <c r="BT679" t="str">
        <f>HYPERLINK("https%3A%2F%2Fwww.webofscience.com%2Fwos%2Fwoscc%2Ffull-record%2FWOS:000255080500011","View Full Record in Web of Science")</f>
        <v>View Full Record in Web of Science</v>
      </c>
    </row>
    <row r="680" spans="1:72" x14ac:dyDescent="0.15">
      <c r="A680" t="s">
        <v>72</v>
      </c>
      <c r="B680" t="s">
        <v>8483</v>
      </c>
      <c r="C680" t="s">
        <v>74</v>
      </c>
      <c r="D680" t="s">
        <v>74</v>
      </c>
      <c r="E680" t="s">
        <v>74</v>
      </c>
      <c r="F680" t="s">
        <v>8484</v>
      </c>
      <c r="G680" t="s">
        <v>74</v>
      </c>
      <c r="H680" t="s">
        <v>74</v>
      </c>
      <c r="I680" t="s">
        <v>8485</v>
      </c>
      <c r="J680" t="s">
        <v>8486</v>
      </c>
      <c r="K680" t="s">
        <v>74</v>
      </c>
      <c r="L680" t="s">
        <v>74</v>
      </c>
      <c r="M680" t="s">
        <v>78</v>
      </c>
      <c r="N680" t="s">
        <v>3116</v>
      </c>
      <c r="O680" t="s">
        <v>74</v>
      </c>
      <c r="P680" t="s">
        <v>74</v>
      </c>
      <c r="Q680" t="s">
        <v>74</v>
      </c>
      <c r="R680" t="s">
        <v>74</v>
      </c>
      <c r="S680" t="s">
        <v>74</v>
      </c>
      <c r="T680" t="s">
        <v>74</v>
      </c>
      <c r="U680" t="s">
        <v>74</v>
      </c>
      <c r="V680" t="s">
        <v>74</v>
      </c>
      <c r="W680" t="s">
        <v>74</v>
      </c>
      <c r="X680" t="s">
        <v>74</v>
      </c>
      <c r="Y680" t="s">
        <v>74</v>
      </c>
      <c r="Z680" t="s">
        <v>74</v>
      </c>
      <c r="AA680" t="s">
        <v>74</v>
      </c>
      <c r="AB680" t="s">
        <v>74</v>
      </c>
      <c r="AC680" t="s">
        <v>74</v>
      </c>
      <c r="AD680" t="s">
        <v>74</v>
      </c>
      <c r="AE680" t="s">
        <v>74</v>
      </c>
      <c r="AF680" t="s">
        <v>74</v>
      </c>
      <c r="AG680">
        <v>0</v>
      </c>
      <c r="AH680">
        <v>0</v>
      </c>
      <c r="AI680">
        <v>0</v>
      </c>
      <c r="AJ680">
        <v>0</v>
      </c>
      <c r="AK680">
        <v>0</v>
      </c>
      <c r="AL680" t="s">
        <v>2746</v>
      </c>
      <c r="AM680" t="s">
        <v>2747</v>
      </c>
      <c r="AN680" t="s">
        <v>2924</v>
      </c>
      <c r="AO680" t="s">
        <v>8487</v>
      </c>
      <c r="AP680" t="s">
        <v>74</v>
      </c>
      <c r="AQ680" t="s">
        <v>74</v>
      </c>
      <c r="AR680" t="s">
        <v>8488</v>
      </c>
      <c r="AS680" t="s">
        <v>8489</v>
      </c>
      <c r="AT680" t="s">
        <v>7937</v>
      </c>
      <c r="AU680">
        <v>2008</v>
      </c>
      <c r="AV680">
        <v>54</v>
      </c>
      <c r="AW680">
        <v>4</v>
      </c>
      <c r="AX680" t="s">
        <v>74</v>
      </c>
      <c r="AY680" t="s">
        <v>74</v>
      </c>
      <c r="AZ680" t="s">
        <v>74</v>
      </c>
      <c r="BA680" t="s">
        <v>74</v>
      </c>
      <c r="BB680">
        <v>898</v>
      </c>
      <c r="BC680">
        <v>898</v>
      </c>
      <c r="BD680" t="s">
        <v>74</v>
      </c>
      <c r="BE680" t="s">
        <v>74</v>
      </c>
      <c r="BF680" t="s">
        <v>74</v>
      </c>
      <c r="BG680" t="s">
        <v>74</v>
      </c>
      <c r="BH680" t="s">
        <v>74</v>
      </c>
      <c r="BI680">
        <v>1</v>
      </c>
      <c r="BJ680" t="s">
        <v>8490</v>
      </c>
      <c r="BK680" t="s">
        <v>419</v>
      </c>
      <c r="BL680" t="s">
        <v>8491</v>
      </c>
      <c r="BM680" t="s">
        <v>8492</v>
      </c>
      <c r="BN680" t="s">
        <v>74</v>
      </c>
      <c r="BO680" t="s">
        <v>74</v>
      </c>
      <c r="BP680" t="s">
        <v>74</v>
      </c>
      <c r="BQ680" t="s">
        <v>74</v>
      </c>
      <c r="BR680" t="s">
        <v>101</v>
      </c>
      <c r="BS680" t="s">
        <v>8493</v>
      </c>
      <c r="BT680" t="str">
        <f>HYPERLINK("https%3A%2F%2Fwww.webofscience.com%2Fwos%2Fwoscc%2Ffull-record%2FWOS:000254743200022","View Full Record in Web of Science")</f>
        <v>View Full Record in Web of Science</v>
      </c>
    </row>
    <row r="681" spans="1:72" x14ac:dyDescent="0.15">
      <c r="A681" t="s">
        <v>72</v>
      </c>
      <c r="B681" t="s">
        <v>8494</v>
      </c>
      <c r="C681" t="s">
        <v>74</v>
      </c>
      <c r="D681" t="s">
        <v>74</v>
      </c>
      <c r="E681" t="s">
        <v>74</v>
      </c>
      <c r="F681" t="s">
        <v>8495</v>
      </c>
      <c r="G681" t="s">
        <v>74</v>
      </c>
      <c r="H681" t="s">
        <v>74</v>
      </c>
      <c r="I681" t="s">
        <v>8496</v>
      </c>
      <c r="J681" t="s">
        <v>8497</v>
      </c>
      <c r="K681" t="s">
        <v>74</v>
      </c>
      <c r="L681" t="s">
        <v>74</v>
      </c>
      <c r="M681" t="s">
        <v>78</v>
      </c>
      <c r="N681" t="s">
        <v>52</v>
      </c>
      <c r="O681" t="s">
        <v>74</v>
      </c>
      <c r="P681" t="s">
        <v>74</v>
      </c>
      <c r="Q681" t="s">
        <v>74</v>
      </c>
      <c r="R681" t="s">
        <v>74</v>
      </c>
      <c r="S681" t="s">
        <v>74</v>
      </c>
      <c r="T681" t="s">
        <v>74</v>
      </c>
      <c r="U681" t="s">
        <v>74</v>
      </c>
      <c r="V681" t="s">
        <v>74</v>
      </c>
      <c r="W681" t="s">
        <v>8498</v>
      </c>
      <c r="X681" t="s">
        <v>8499</v>
      </c>
      <c r="Y681" t="s">
        <v>74</v>
      </c>
      <c r="Z681" t="s">
        <v>74</v>
      </c>
      <c r="AA681" t="s">
        <v>74</v>
      </c>
      <c r="AB681" t="s">
        <v>74</v>
      </c>
      <c r="AC681" t="s">
        <v>74</v>
      </c>
      <c r="AD681" t="s">
        <v>74</v>
      </c>
      <c r="AE681" t="s">
        <v>74</v>
      </c>
      <c r="AF681" t="s">
        <v>74</v>
      </c>
      <c r="AG681">
        <v>0</v>
      </c>
      <c r="AH681">
        <v>0</v>
      </c>
      <c r="AI681">
        <v>0</v>
      </c>
      <c r="AJ681">
        <v>0</v>
      </c>
      <c r="AK681">
        <v>3</v>
      </c>
      <c r="AL681" t="s">
        <v>8500</v>
      </c>
      <c r="AM681" t="s">
        <v>4112</v>
      </c>
      <c r="AN681" t="s">
        <v>8501</v>
      </c>
      <c r="AO681" t="s">
        <v>8502</v>
      </c>
      <c r="AP681" t="s">
        <v>74</v>
      </c>
      <c r="AQ681" t="s">
        <v>74</v>
      </c>
      <c r="AR681" t="s">
        <v>8503</v>
      </c>
      <c r="AS681" t="s">
        <v>8504</v>
      </c>
      <c r="AT681" t="s">
        <v>7937</v>
      </c>
      <c r="AU681">
        <v>2008</v>
      </c>
      <c r="AV681">
        <v>22</v>
      </c>
      <c r="AW681" t="s">
        <v>74</v>
      </c>
      <c r="AX681" t="s">
        <v>74</v>
      </c>
      <c r="AY681" t="s">
        <v>74</v>
      </c>
      <c r="AZ681" t="s">
        <v>74</v>
      </c>
      <c r="BA681" t="s">
        <v>74</v>
      </c>
      <c r="BB681" t="s">
        <v>74</v>
      </c>
      <c r="BC681" t="s">
        <v>74</v>
      </c>
      <c r="BD681" t="s">
        <v>74</v>
      </c>
      <c r="BE681" t="s">
        <v>74</v>
      </c>
      <c r="BF681" t="s">
        <v>74</v>
      </c>
      <c r="BG681" t="s">
        <v>74</v>
      </c>
      <c r="BH681" t="s">
        <v>74</v>
      </c>
      <c r="BI681">
        <v>1</v>
      </c>
      <c r="BJ681" t="s">
        <v>8505</v>
      </c>
      <c r="BK681" t="s">
        <v>419</v>
      </c>
      <c r="BL681" t="s">
        <v>8506</v>
      </c>
      <c r="BM681" t="s">
        <v>8507</v>
      </c>
      <c r="BN681" t="s">
        <v>74</v>
      </c>
      <c r="BO681" t="s">
        <v>74</v>
      </c>
      <c r="BP681" t="s">
        <v>74</v>
      </c>
      <c r="BQ681" t="s">
        <v>74</v>
      </c>
      <c r="BR681" t="s">
        <v>101</v>
      </c>
      <c r="BS681" t="s">
        <v>8508</v>
      </c>
      <c r="BT681" t="str">
        <f>HYPERLINK("https%3A%2F%2Fwww.webofscience.com%2Fwos%2Fwoscc%2Ffull-record%2FWOS:000208467808715","View Full Record in Web of Science")</f>
        <v>View Full Record in Web of Science</v>
      </c>
    </row>
    <row r="682" spans="1:72" x14ac:dyDescent="0.15">
      <c r="A682" t="s">
        <v>72</v>
      </c>
      <c r="B682" t="s">
        <v>8509</v>
      </c>
      <c r="C682" t="s">
        <v>74</v>
      </c>
      <c r="D682" t="s">
        <v>74</v>
      </c>
      <c r="E682" t="s">
        <v>74</v>
      </c>
      <c r="F682" t="s">
        <v>8510</v>
      </c>
      <c r="G682" t="s">
        <v>74</v>
      </c>
      <c r="H682" t="s">
        <v>74</v>
      </c>
      <c r="I682" t="s">
        <v>8511</v>
      </c>
      <c r="J682" t="s">
        <v>8512</v>
      </c>
      <c r="K682" t="s">
        <v>74</v>
      </c>
      <c r="L682" t="s">
        <v>74</v>
      </c>
      <c r="M682" t="s">
        <v>78</v>
      </c>
      <c r="N682" t="s">
        <v>2737</v>
      </c>
      <c r="O682" t="s">
        <v>74</v>
      </c>
      <c r="P682" t="s">
        <v>74</v>
      </c>
      <c r="Q682" t="s">
        <v>74</v>
      </c>
      <c r="R682" t="s">
        <v>74</v>
      </c>
      <c r="S682" t="s">
        <v>74</v>
      </c>
      <c r="T682" t="s">
        <v>8513</v>
      </c>
      <c r="U682" t="s">
        <v>8514</v>
      </c>
      <c r="V682" t="s">
        <v>8515</v>
      </c>
      <c r="W682" t="s">
        <v>8516</v>
      </c>
      <c r="X682" t="s">
        <v>8517</v>
      </c>
      <c r="Y682" t="s">
        <v>8518</v>
      </c>
      <c r="Z682" t="s">
        <v>8519</v>
      </c>
      <c r="AA682" t="s">
        <v>8520</v>
      </c>
      <c r="AB682" t="s">
        <v>8521</v>
      </c>
      <c r="AC682" t="s">
        <v>74</v>
      </c>
      <c r="AD682" t="s">
        <v>74</v>
      </c>
      <c r="AE682" t="s">
        <v>74</v>
      </c>
      <c r="AF682" t="s">
        <v>74</v>
      </c>
      <c r="AG682">
        <v>50</v>
      </c>
      <c r="AH682">
        <v>8</v>
      </c>
      <c r="AI682">
        <v>24</v>
      </c>
      <c r="AJ682">
        <v>1</v>
      </c>
      <c r="AK682">
        <v>3</v>
      </c>
      <c r="AL682" t="s">
        <v>88</v>
      </c>
      <c r="AM682" t="s">
        <v>89</v>
      </c>
      <c r="AN682" t="s">
        <v>90</v>
      </c>
      <c r="AO682" t="s">
        <v>8522</v>
      </c>
      <c r="AP682" t="s">
        <v>8523</v>
      </c>
      <c r="AQ682" t="s">
        <v>74</v>
      </c>
      <c r="AR682" t="s">
        <v>8524</v>
      </c>
      <c r="AS682" t="s">
        <v>8525</v>
      </c>
      <c r="AT682" t="s">
        <v>7937</v>
      </c>
      <c r="AU682">
        <v>2008</v>
      </c>
      <c r="AV682">
        <v>275</v>
      </c>
      <c r="AW682">
        <v>8</v>
      </c>
      <c r="AX682" t="s">
        <v>74</v>
      </c>
      <c r="AY682" t="s">
        <v>74</v>
      </c>
      <c r="AZ682" t="s">
        <v>74</v>
      </c>
      <c r="BA682" t="s">
        <v>74</v>
      </c>
      <c r="BB682">
        <v>1835</v>
      </c>
      <c r="BC682">
        <v>1851</v>
      </c>
      <c r="BD682" t="s">
        <v>74</v>
      </c>
      <c r="BE682" t="s">
        <v>8526</v>
      </c>
      <c r="BF682" t="str">
        <f>HYPERLINK("http://dx.doi.org/10.1111/j.1742-4658.2008.06342.x","http://dx.doi.org/10.1111/j.1742-4658.2008.06342.x")</f>
        <v>http://dx.doi.org/10.1111/j.1742-4658.2008.06342.x</v>
      </c>
      <c r="BG682" t="s">
        <v>74</v>
      </c>
      <c r="BH682" t="s">
        <v>74</v>
      </c>
      <c r="BI682">
        <v>17</v>
      </c>
      <c r="BJ682" t="s">
        <v>4071</v>
      </c>
      <c r="BK682" t="s">
        <v>419</v>
      </c>
      <c r="BL682" t="s">
        <v>4071</v>
      </c>
      <c r="BM682" t="s">
        <v>8527</v>
      </c>
      <c r="BN682">
        <v>18336576</v>
      </c>
      <c r="BO682" t="s">
        <v>74</v>
      </c>
      <c r="BP682" t="s">
        <v>74</v>
      </c>
      <c r="BQ682" t="s">
        <v>74</v>
      </c>
      <c r="BR682" t="s">
        <v>101</v>
      </c>
      <c r="BS682" t="s">
        <v>8528</v>
      </c>
      <c r="BT682" t="str">
        <f>HYPERLINK("https%3A%2F%2Fwww.webofscience.com%2Fwos%2Fwoscc%2Ffull-record%2FWOS:000254499500022","View Full Record in Web of Science")</f>
        <v>View Full Record in Web of Science</v>
      </c>
    </row>
    <row r="683" spans="1:72" x14ac:dyDescent="0.15">
      <c r="A683" t="s">
        <v>72</v>
      </c>
      <c r="B683" t="s">
        <v>8529</v>
      </c>
      <c r="C683" t="s">
        <v>74</v>
      </c>
      <c r="D683" t="s">
        <v>74</v>
      </c>
      <c r="E683" t="s">
        <v>74</v>
      </c>
      <c r="F683" t="s">
        <v>8530</v>
      </c>
      <c r="G683" t="s">
        <v>74</v>
      </c>
      <c r="H683" t="s">
        <v>74</v>
      </c>
      <c r="I683" t="s">
        <v>8531</v>
      </c>
      <c r="J683" t="s">
        <v>4696</v>
      </c>
      <c r="K683" t="s">
        <v>74</v>
      </c>
      <c r="L683" t="s">
        <v>74</v>
      </c>
      <c r="M683" t="s">
        <v>78</v>
      </c>
      <c r="N683" t="s">
        <v>2737</v>
      </c>
      <c r="O683" t="s">
        <v>74</v>
      </c>
      <c r="P683" t="s">
        <v>74</v>
      </c>
      <c r="Q683" t="s">
        <v>74</v>
      </c>
      <c r="R683" t="s">
        <v>74</v>
      </c>
      <c r="S683" t="s">
        <v>74</v>
      </c>
      <c r="T683" t="s">
        <v>8532</v>
      </c>
      <c r="U683" t="s">
        <v>8533</v>
      </c>
      <c r="V683" t="s">
        <v>8534</v>
      </c>
      <c r="W683" t="s">
        <v>8535</v>
      </c>
      <c r="X683" t="s">
        <v>8536</v>
      </c>
      <c r="Y683" t="s">
        <v>8537</v>
      </c>
      <c r="Z683" t="s">
        <v>8538</v>
      </c>
      <c r="AA683" t="s">
        <v>74</v>
      </c>
      <c r="AB683" t="s">
        <v>74</v>
      </c>
      <c r="AC683" t="s">
        <v>74</v>
      </c>
      <c r="AD683" t="s">
        <v>74</v>
      </c>
      <c r="AE683" t="s">
        <v>74</v>
      </c>
      <c r="AF683" t="s">
        <v>74</v>
      </c>
      <c r="AG683">
        <v>44</v>
      </c>
      <c r="AH683">
        <v>25</v>
      </c>
      <c r="AI683">
        <v>26</v>
      </c>
      <c r="AJ683">
        <v>0</v>
      </c>
      <c r="AK683">
        <v>10</v>
      </c>
      <c r="AL683" t="s">
        <v>3257</v>
      </c>
      <c r="AM683" t="s">
        <v>3258</v>
      </c>
      <c r="AN683" t="s">
        <v>3259</v>
      </c>
      <c r="AO683" t="s">
        <v>4705</v>
      </c>
      <c r="AP683" t="s">
        <v>74</v>
      </c>
      <c r="AQ683" t="s">
        <v>74</v>
      </c>
      <c r="AR683" t="s">
        <v>4707</v>
      </c>
      <c r="AS683" t="s">
        <v>4708</v>
      </c>
      <c r="AT683" t="s">
        <v>7937</v>
      </c>
      <c r="AU683">
        <v>2008</v>
      </c>
      <c r="AV683">
        <v>90</v>
      </c>
      <c r="AW683" t="s">
        <v>8539</v>
      </c>
      <c r="AX683" t="s">
        <v>74</v>
      </c>
      <c r="AY683" t="s">
        <v>74</v>
      </c>
      <c r="AZ683" t="s">
        <v>74</v>
      </c>
      <c r="BA683" t="s">
        <v>74</v>
      </c>
      <c r="BB683">
        <v>247</v>
      </c>
      <c r="BC683">
        <v>260</v>
      </c>
      <c r="BD683" t="s">
        <v>74</v>
      </c>
      <c r="BE683" t="s">
        <v>8540</v>
      </c>
      <c r="BF683" t="str">
        <f>HYPERLINK("http://dx.doi.org/10.1016/j.fishres.2007.10.023","http://dx.doi.org/10.1016/j.fishres.2007.10.023")</f>
        <v>http://dx.doi.org/10.1016/j.fishres.2007.10.023</v>
      </c>
      <c r="BG683" t="s">
        <v>74</v>
      </c>
      <c r="BH683" t="s">
        <v>74</v>
      </c>
      <c r="BI683">
        <v>14</v>
      </c>
      <c r="BJ683" t="s">
        <v>4711</v>
      </c>
      <c r="BK683" t="s">
        <v>419</v>
      </c>
      <c r="BL683" t="s">
        <v>4711</v>
      </c>
      <c r="BM683" t="s">
        <v>8541</v>
      </c>
      <c r="BN683" t="s">
        <v>74</v>
      </c>
      <c r="BO683" t="s">
        <v>74</v>
      </c>
      <c r="BP683" t="s">
        <v>74</v>
      </c>
      <c r="BQ683" t="s">
        <v>74</v>
      </c>
      <c r="BR683" t="s">
        <v>101</v>
      </c>
      <c r="BS683" t="s">
        <v>8542</v>
      </c>
      <c r="BT683" t="str">
        <f>HYPERLINK("https%3A%2F%2Fwww.webofscience.com%2Fwos%2Fwoscc%2Ffull-record%2FWOS:000255266900028","View Full Record in Web of Science")</f>
        <v>View Full Record in Web of Science</v>
      </c>
    </row>
    <row r="684" spans="1:72" x14ac:dyDescent="0.15">
      <c r="A684" t="s">
        <v>72</v>
      </c>
      <c r="B684" t="s">
        <v>8543</v>
      </c>
      <c r="C684" t="s">
        <v>74</v>
      </c>
      <c r="D684" t="s">
        <v>74</v>
      </c>
      <c r="E684" t="s">
        <v>74</v>
      </c>
      <c r="F684" t="s">
        <v>8544</v>
      </c>
      <c r="G684" t="s">
        <v>74</v>
      </c>
      <c r="H684" t="s">
        <v>74</v>
      </c>
      <c r="I684" t="s">
        <v>8545</v>
      </c>
      <c r="J684" t="s">
        <v>8546</v>
      </c>
      <c r="K684" t="s">
        <v>74</v>
      </c>
      <c r="L684" t="s">
        <v>74</v>
      </c>
      <c r="M684" t="s">
        <v>78</v>
      </c>
      <c r="N684" t="s">
        <v>2737</v>
      </c>
      <c r="O684" t="s">
        <v>74</v>
      </c>
      <c r="P684" t="s">
        <v>74</v>
      </c>
      <c r="Q684" t="s">
        <v>74</v>
      </c>
      <c r="R684" t="s">
        <v>74</v>
      </c>
      <c r="S684" t="s">
        <v>74</v>
      </c>
      <c r="T684" t="s">
        <v>8547</v>
      </c>
      <c r="U684" t="s">
        <v>8548</v>
      </c>
      <c r="V684" t="s">
        <v>8549</v>
      </c>
      <c r="W684" t="s">
        <v>8550</v>
      </c>
      <c r="X684" t="s">
        <v>8551</v>
      </c>
      <c r="Y684" t="s">
        <v>8552</v>
      </c>
      <c r="Z684" t="s">
        <v>8553</v>
      </c>
      <c r="AA684" t="s">
        <v>8554</v>
      </c>
      <c r="AB684" t="s">
        <v>74</v>
      </c>
      <c r="AC684" t="s">
        <v>74</v>
      </c>
      <c r="AD684" t="s">
        <v>74</v>
      </c>
      <c r="AE684" t="s">
        <v>74</v>
      </c>
      <c r="AF684" t="s">
        <v>74</v>
      </c>
      <c r="AG684">
        <v>16</v>
      </c>
      <c r="AH684">
        <v>7</v>
      </c>
      <c r="AI684">
        <v>9</v>
      </c>
      <c r="AJ684">
        <v>1</v>
      </c>
      <c r="AK684">
        <v>12</v>
      </c>
      <c r="AL684" t="s">
        <v>8555</v>
      </c>
      <c r="AM684" t="s">
        <v>5393</v>
      </c>
      <c r="AN684" t="s">
        <v>8556</v>
      </c>
      <c r="AO684" t="s">
        <v>8557</v>
      </c>
      <c r="AP684" t="s">
        <v>74</v>
      </c>
      <c r="AQ684" t="s">
        <v>74</v>
      </c>
      <c r="AR684" t="s">
        <v>8558</v>
      </c>
      <c r="AS684" t="s">
        <v>8559</v>
      </c>
      <c r="AT684" t="s">
        <v>7937</v>
      </c>
      <c r="AU684">
        <v>2008</v>
      </c>
      <c r="AV684">
        <v>74</v>
      </c>
      <c r="AW684">
        <v>2</v>
      </c>
      <c r="AX684" t="s">
        <v>74</v>
      </c>
      <c r="AY684" t="s">
        <v>74</v>
      </c>
      <c r="AZ684" t="s">
        <v>74</v>
      </c>
      <c r="BA684" t="s">
        <v>74</v>
      </c>
      <c r="BB684">
        <v>221</v>
      </c>
      <c r="BC684">
        <v>229</v>
      </c>
      <c r="BD684" t="s">
        <v>74</v>
      </c>
      <c r="BE684" t="s">
        <v>8560</v>
      </c>
      <c r="BF684" t="str">
        <f>HYPERLINK("http://dx.doi.org/10.1111/j.1444-2906.2008.01516.x","http://dx.doi.org/10.1111/j.1444-2906.2008.01516.x")</f>
        <v>http://dx.doi.org/10.1111/j.1444-2906.2008.01516.x</v>
      </c>
      <c r="BG684" t="s">
        <v>74</v>
      </c>
      <c r="BH684" t="s">
        <v>74</v>
      </c>
      <c r="BI684">
        <v>9</v>
      </c>
      <c r="BJ684" t="s">
        <v>4711</v>
      </c>
      <c r="BK684" t="s">
        <v>419</v>
      </c>
      <c r="BL684" t="s">
        <v>4711</v>
      </c>
      <c r="BM684" t="s">
        <v>8561</v>
      </c>
      <c r="BN684" t="s">
        <v>74</v>
      </c>
      <c r="BO684" t="s">
        <v>74</v>
      </c>
      <c r="BP684" t="s">
        <v>74</v>
      </c>
      <c r="BQ684" t="s">
        <v>74</v>
      </c>
      <c r="BR684" t="s">
        <v>101</v>
      </c>
      <c r="BS684" t="s">
        <v>8562</v>
      </c>
      <c r="BT684" t="str">
        <f>HYPERLINK("https%3A%2F%2Fwww.webofscience.com%2Fwos%2Fwoscc%2Ffull-record%2FWOS:000254560500001","View Full Record in Web of Science")</f>
        <v>View Full Record in Web of Science</v>
      </c>
    </row>
    <row r="685" spans="1:72" x14ac:dyDescent="0.15">
      <c r="A685" t="s">
        <v>72</v>
      </c>
      <c r="B685" t="s">
        <v>8563</v>
      </c>
      <c r="C685" t="s">
        <v>74</v>
      </c>
      <c r="D685" t="s">
        <v>74</v>
      </c>
      <c r="E685" t="s">
        <v>74</v>
      </c>
      <c r="F685" t="s">
        <v>8564</v>
      </c>
      <c r="G685" t="s">
        <v>74</v>
      </c>
      <c r="H685" t="s">
        <v>74</v>
      </c>
      <c r="I685" t="s">
        <v>8565</v>
      </c>
      <c r="J685" t="s">
        <v>8566</v>
      </c>
      <c r="K685" t="s">
        <v>74</v>
      </c>
      <c r="L685" t="s">
        <v>74</v>
      </c>
      <c r="M685" t="s">
        <v>78</v>
      </c>
      <c r="N685" t="s">
        <v>2958</v>
      </c>
      <c r="O685" t="s">
        <v>74</v>
      </c>
      <c r="P685" t="s">
        <v>74</v>
      </c>
      <c r="Q685" t="s">
        <v>74</v>
      </c>
      <c r="R685" t="s">
        <v>74</v>
      </c>
      <c r="S685" t="s">
        <v>74</v>
      </c>
      <c r="T685" t="s">
        <v>74</v>
      </c>
      <c r="U685" t="s">
        <v>74</v>
      </c>
      <c r="V685" t="s">
        <v>8567</v>
      </c>
      <c r="W685" t="s">
        <v>8568</v>
      </c>
      <c r="X685" t="s">
        <v>8569</v>
      </c>
      <c r="Y685" t="s">
        <v>8570</v>
      </c>
      <c r="Z685" t="s">
        <v>8571</v>
      </c>
      <c r="AA685" t="s">
        <v>8572</v>
      </c>
      <c r="AB685" t="s">
        <v>8573</v>
      </c>
      <c r="AC685" t="s">
        <v>74</v>
      </c>
      <c r="AD685" t="s">
        <v>74</v>
      </c>
      <c r="AE685" t="s">
        <v>74</v>
      </c>
      <c r="AF685" t="s">
        <v>74</v>
      </c>
      <c r="AG685">
        <v>29</v>
      </c>
      <c r="AH685">
        <v>100</v>
      </c>
      <c r="AI685">
        <v>123</v>
      </c>
      <c r="AJ685">
        <v>4</v>
      </c>
      <c r="AK685">
        <v>66</v>
      </c>
      <c r="AL685" t="s">
        <v>88</v>
      </c>
      <c r="AM685" t="s">
        <v>89</v>
      </c>
      <c r="AN685" t="s">
        <v>90</v>
      </c>
      <c r="AO685" t="s">
        <v>8574</v>
      </c>
      <c r="AP685" t="s">
        <v>8575</v>
      </c>
      <c r="AQ685" t="s">
        <v>74</v>
      </c>
      <c r="AR685" t="s">
        <v>8576</v>
      </c>
      <c r="AS685" t="s">
        <v>8577</v>
      </c>
      <c r="AT685" t="s">
        <v>7937</v>
      </c>
      <c r="AU685">
        <v>2008</v>
      </c>
      <c r="AV685">
        <v>6</v>
      </c>
      <c r="AW685">
        <v>3</v>
      </c>
      <c r="AX685" t="s">
        <v>74</v>
      </c>
      <c r="AY685" t="s">
        <v>74</v>
      </c>
      <c r="AZ685" t="s">
        <v>74</v>
      </c>
      <c r="BA685" t="s">
        <v>74</v>
      </c>
      <c r="BB685">
        <v>131</v>
      </c>
      <c r="BC685">
        <v>137</v>
      </c>
      <c r="BD685" t="s">
        <v>74</v>
      </c>
      <c r="BE685" t="s">
        <v>8578</v>
      </c>
      <c r="BF685" t="str">
        <f>HYPERLINK("http://dx.doi.org/10.1890/070020","http://dx.doi.org/10.1890/070020")</f>
        <v>http://dx.doi.org/10.1890/070020</v>
      </c>
      <c r="BG685" t="s">
        <v>74</v>
      </c>
      <c r="BH685" t="s">
        <v>74</v>
      </c>
      <c r="BI685">
        <v>7</v>
      </c>
      <c r="BJ685" t="s">
        <v>2971</v>
      </c>
      <c r="BK685" t="s">
        <v>419</v>
      </c>
      <c r="BL685" t="s">
        <v>2972</v>
      </c>
      <c r="BM685" t="s">
        <v>8579</v>
      </c>
      <c r="BN685" t="s">
        <v>74</v>
      </c>
      <c r="BO685" t="s">
        <v>3110</v>
      </c>
      <c r="BP685" t="s">
        <v>74</v>
      </c>
      <c r="BQ685" t="s">
        <v>74</v>
      </c>
      <c r="BR685" t="s">
        <v>101</v>
      </c>
      <c r="BS685" t="s">
        <v>8580</v>
      </c>
      <c r="BT685" t="str">
        <f>HYPERLINK("https%3A%2F%2Fwww.webofscience.com%2Fwos%2Fwoscc%2Ffull-record%2FWOS:000254597200018","View Full Record in Web of Science")</f>
        <v>View Full Record in Web of Science</v>
      </c>
    </row>
    <row r="686" spans="1:72" x14ac:dyDescent="0.15">
      <c r="A686" t="s">
        <v>72</v>
      </c>
      <c r="B686" t="s">
        <v>8581</v>
      </c>
      <c r="C686" t="s">
        <v>74</v>
      </c>
      <c r="D686" t="s">
        <v>74</v>
      </c>
      <c r="E686" t="s">
        <v>74</v>
      </c>
      <c r="F686" t="s">
        <v>8582</v>
      </c>
      <c r="G686" t="s">
        <v>74</v>
      </c>
      <c r="H686" t="s">
        <v>74</v>
      </c>
      <c r="I686" t="s">
        <v>8583</v>
      </c>
      <c r="J686" t="s">
        <v>8584</v>
      </c>
      <c r="K686" t="s">
        <v>74</v>
      </c>
      <c r="L686" t="s">
        <v>74</v>
      </c>
      <c r="M686" t="s">
        <v>78</v>
      </c>
      <c r="N686" t="s">
        <v>2737</v>
      </c>
      <c r="O686" t="s">
        <v>74</v>
      </c>
      <c r="P686" t="s">
        <v>74</v>
      </c>
      <c r="Q686" t="s">
        <v>74</v>
      </c>
      <c r="R686" t="s">
        <v>74</v>
      </c>
      <c r="S686" t="s">
        <v>74</v>
      </c>
      <c r="T686" t="s">
        <v>8585</v>
      </c>
      <c r="U686" t="s">
        <v>8586</v>
      </c>
      <c r="V686" t="s">
        <v>8587</v>
      </c>
      <c r="W686" t="s">
        <v>8588</v>
      </c>
      <c r="X686" t="s">
        <v>8589</v>
      </c>
      <c r="Y686" t="s">
        <v>8590</v>
      </c>
      <c r="Z686" t="s">
        <v>8591</v>
      </c>
      <c r="AA686" t="s">
        <v>8592</v>
      </c>
      <c r="AB686" t="s">
        <v>8593</v>
      </c>
      <c r="AC686" t="s">
        <v>8594</v>
      </c>
      <c r="AD686" t="s">
        <v>3604</v>
      </c>
      <c r="AE686" t="s">
        <v>74</v>
      </c>
      <c r="AF686" t="s">
        <v>74</v>
      </c>
      <c r="AG686">
        <v>56</v>
      </c>
      <c r="AH686">
        <v>46</v>
      </c>
      <c r="AI686">
        <v>54</v>
      </c>
      <c r="AJ686">
        <v>1</v>
      </c>
      <c r="AK686">
        <v>32</v>
      </c>
      <c r="AL686" t="s">
        <v>88</v>
      </c>
      <c r="AM686" t="s">
        <v>89</v>
      </c>
      <c r="AN686" t="s">
        <v>90</v>
      </c>
      <c r="AO686" t="s">
        <v>8595</v>
      </c>
      <c r="AP686" t="s">
        <v>8596</v>
      </c>
      <c r="AQ686" t="s">
        <v>74</v>
      </c>
      <c r="AR686" t="s">
        <v>8597</v>
      </c>
      <c r="AS686" t="s">
        <v>8598</v>
      </c>
      <c r="AT686" t="s">
        <v>7937</v>
      </c>
      <c r="AU686">
        <v>2008</v>
      </c>
      <c r="AV686">
        <v>22</v>
      </c>
      <c r="AW686">
        <v>2</v>
      </c>
      <c r="AX686" t="s">
        <v>74</v>
      </c>
      <c r="AY686" t="s">
        <v>74</v>
      </c>
      <c r="AZ686" t="s">
        <v>74</v>
      </c>
      <c r="BA686" t="s">
        <v>74</v>
      </c>
      <c r="BB686">
        <v>245</v>
      </c>
      <c r="BC686">
        <v>254</v>
      </c>
      <c r="BD686" t="s">
        <v>74</v>
      </c>
      <c r="BE686" t="s">
        <v>8599</v>
      </c>
      <c r="BF686" t="str">
        <f>HYPERLINK("http://dx.doi.org/10.1111/j.1365-2435.2007.01368.x","http://dx.doi.org/10.1111/j.1365-2435.2007.01368.x")</f>
        <v>http://dx.doi.org/10.1111/j.1365-2435.2007.01368.x</v>
      </c>
      <c r="BG686" t="s">
        <v>74</v>
      </c>
      <c r="BH686" t="s">
        <v>74</v>
      </c>
      <c r="BI686">
        <v>10</v>
      </c>
      <c r="BJ686" t="s">
        <v>8600</v>
      </c>
      <c r="BK686" t="s">
        <v>419</v>
      </c>
      <c r="BL686" t="s">
        <v>2972</v>
      </c>
      <c r="BM686" t="s">
        <v>8601</v>
      </c>
      <c r="BN686" t="s">
        <v>74</v>
      </c>
      <c r="BO686" t="s">
        <v>3290</v>
      </c>
      <c r="BP686" t="s">
        <v>74</v>
      </c>
      <c r="BQ686" t="s">
        <v>74</v>
      </c>
      <c r="BR686" t="s">
        <v>101</v>
      </c>
      <c r="BS686" t="s">
        <v>8602</v>
      </c>
      <c r="BT686" t="str">
        <f>HYPERLINK("https%3A%2F%2Fwww.webofscience.com%2Fwos%2Fwoscc%2Ffull-record%2FWOS:000254191700007","View Full Record in Web of Science")</f>
        <v>View Full Record in Web of Science</v>
      </c>
    </row>
    <row r="687" spans="1:72" x14ac:dyDescent="0.15">
      <c r="A687" t="s">
        <v>72</v>
      </c>
      <c r="B687" t="s">
        <v>8603</v>
      </c>
      <c r="C687" t="s">
        <v>74</v>
      </c>
      <c r="D687" t="s">
        <v>74</v>
      </c>
      <c r="E687" t="s">
        <v>74</v>
      </c>
      <c r="F687" t="s">
        <v>8604</v>
      </c>
      <c r="G687" t="s">
        <v>74</v>
      </c>
      <c r="H687" t="s">
        <v>74</v>
      </c>
      <c r="I687" t="s">
        <v>8605</v>
      </c>
      <c r="J687" t="s">
        <v>8606</v>
      </c>
      <c r="K687" t="s">
        <v>74</v>
      </c>
      <c r="L687" t="s">
        <v>74</v>
      </c>
      <c r="M687" t="s">
        <v>78</v>
      </c>
      <c r="N687" t="s">
        <v>2737</v>
      </c>
      <c r="O687" t="s">
        <v>74</v>
      </c>
      <c r="P687" t="s">
        <v>74</v>
      </c>
      <c r="Q687" t="s">
        <v>74</v>
      </c>
      <c r="R687" t="s">
        <v>74</v>
      </c>
      <c r="S687" t="s">
        <v>74</v>
      </c>
      <c r="T687" t="s">
        <v>74</v>
      </c>
      <c r="U687" t="s">
        <v>8607</v>
      </c>
      <c r="V687" t="s">
        <v>8608</v>
      </c>
      <c r="W687" t="s">
        <v>8609</v>
      </c>
      <c r="X687" t="s">
        <v>8610</v>
      </c>
      <c r="Y687" t="s">
        <v>8611</v>
      </c>
      <c r="Z687" t="s">
        <v>8612</v>
      </c>
      <c r="AA687" t="s">
        <v>8613</v>
      </c>
      <c r="AB687" t="s">
        <v>8614</v>
      </c>
      <c r="AC687" t="s">
        <v>74</v>
      </c>
      <c r="AD687" t="s">
        <v>74</v>
      </c>
      <c r="AE687" t="s">
        <v>74</v>
      </c>
      <c r="AF687" t="s">
        <v>74</v>
      </c>
      <c r="AG687">
        <v>27</v>
      </c>
      <c r="AH687">
        <v>14</v>
      </c>
      <c r="AI687">
        <v>27</v>
      </c>
      <c r="AJ687">
        <v>0</v>
      </c>
      <c r="AK687">
        <v>18</v>
      </c>
      <c r="AL687" t="s">
        <v>2746</v>
      </c>
      <c r="AM687" t="s">
        <v>2747</v>
      </c>
      <c r="AN687" t="s">
        <v>6934</v>
      </c>
      <c r="AO687" t="s">
        <v>8615</v>
      </c>
      <c r="AP687" t="s">
        <v>74</v>
      </c>
      <c r="AQ687" t="s">
        <v>74</v>
      </c>
      <c r="AR687" t="s">
        <v>8616</v>
      </c>
      <c r="AS687" t="s">
        <v>8617</v>
      </c>
      <c r="AT687" t="s">
        <v>7937</v>
      </c>
      <c r="AU687">
        <v>2008</v>
      </c>
      <c r="AV687">
        <v>28</v>
      </c>
      <c r="AW687">
        <v>2</v>
      </c>
      <c r="AX687" t="s">
        <v>74</v>
      </c>
      <c r="AY687" t="s">
        <v>74</v>
      </c>
      <c r="AZ687" t="s">
        <v>74</v>
      </c>
      <c r="BA687" t="s">
        <v>74</v>
      </c>
      <c r="BB687">
        <v>97</v>
      </c>
      <c r="BC687">
        <v>106</v>
      </c>
      <c r="BD687" t="s">
        <v>74</v>
      </c>
      <c r="BE687" t="s">
        <v>8618</v>
      </c>
      <c r="BF687" t="str">
        <f>HYPERLINK("http://dx.doi.org/10.1007/s00367-007-0093-z","http://dx.doi.org/10.1007/s00367-007-0093-z")</f>
        <v>http://dx.doi.org/10.1007/s00367-007-0093-z</v>
      </c>
      <c r="BG687" t="s">
        <v>74</v>
      </c>
      <c r="BH687" t="s">
        <v>74</v>
      </c>
      <c r="BI687">
        <v>10</v>
      </c>
      <c r="BJ687" t="s">
        <v>3962</v>
      </c>
      <c r="BK687" t="s">
        <v>419</v>
      </c>
      <c r="BL687" t="s">
        <v>3963</v>
      </c>
      <c r="BM687" t="s">
        <v>8619</v>
      </c>
      <c r="BN687" t="s">
        <v>74</v>
      </c>
      <c r="BO687" t="s">
        <v>74</v>
      </c>
      <c r="BP687" t="s">
        <v>74</v>
      </c>
      <c r="BQ687" t="s">
        <v>74</v>
      </c>
      <c r="BR687" t="s">
        <v>101</v>
      </c>
      <c r="BS687" t="s">
        <v>8620</v>
      </c>
      <c r="BT687" t="str">
        <f>HYPERLINK("https%3A%2F%2Fwww.webofscience.com%2Fwos%2Fwoscc%2Ffull-record%2FWOS:000254184200004","View Full Record in Web of Science")</f>
        <v>View Full Record in Web of Science</v>
      </c>
    </row>
    <row r="688" spans="1:72" x14ac:dyDescent="0.15">
      <c r="A688" t="s">
        <v>72</v>
      </c>
      <c r="B688" t="s">
        <v>8621</v>
      </c>
      <c r="C688" t="s">
        <v>74</v>
      </c>
      <c r="D688" t="s">
        <v>74</v>
      </c>
      <c r="E688" t="s">
        <v>74</v>
      </c>
      <c r="F688" t="s">
        <v>8622</v>
      </c>
      <c r="G688" t="s">
        <v>74</v>
      </c>
      <c r="H688" t="s">
        <v>74</v>
      </c>
      <c r="I688" t="s">
        <v>8623</v>
      </c>
      <c r="J688" t="s">
        <v>3295</v>
      </c>
      <c r="K688" t="s">
        <v>74</v>
      </c>
      <c r="L688" t="s">
        <v>74</v>
      </c>
      <c r="M688" t="s">
        <v>78</v>
      </c>
      <c r="N688" t="s">
        <v>2737</v>
      </c>
      <c r="O688" t="s">
        <v>74</v>
      </c>
      <c r="P688" t="s">
        <v>74</v>
      </c>
      <c r="Q688" t="s">
        <v>74</v>
      </c>
      <c r="R688" t="s">
        <v>74</v>
      </c>
      <c r="S688" t="s">
        <v>74</v>
      </c>
      <c r="T688" t="s">
        <v>74</v>
      </c>
      <c r="U688" t="s">
        <v>8624</v>
      </c>
      <c r="V688" t="s">
        <v>8625</v>
      </c>
      <c r="W688" t="s">
        <v>8626</v>
      </c>
      <c r="X688" t="s">
        <v>8627</v>
      </c>
      <c r="Y688" t="s">
        <v>8628</v>
      </c>
      <c r="Z688" t="s">
        <v>8629</v>
      </c>
      <c r="AA688" t="s">
        <v>8630</v>
      </c>
      <c r="AB688" t="s">
        <v>8631</v>
      </c>
      <c r="AC688" t="s">
        <v>8632</v>
      </c>
      <c r="AD688" t="s">
        <v>2792</v>
      </c>
      <c r="AE688" t="s">
        <v>74</v>
      </c>
      <c r="AF688" t="s">
        <v>74</v>
      </c>
      <c r="AG688">
        <v>25</v>
      </c>
      <c r="AH688">
        <v>27</v>
      </c>
      <c r="AI688">
        <v>29</v>
      </c>
      <c r="AJ688">
        <v>0</v>
      </c>
      <c r="AK688">
        <v>6</v>
      </c>
      <c r="AL688" t="s">
        <v>3280</v>
      </c>
      <c r="AM688" t="s">
        <v>3281</v>
      </c>
      <c r="AN688" t="s">
        <v>3282</v>
      </c>
      <c r="AO688" t="s">
        <v>3304</v>
      </c>
      <c r="AP688" t="s">
        <v>3305</v>
      </c>
      <c r="AQ688" t="s">
        <v>74</v>
      </c>
      <c r="AR688" t="s">
        <v>3306</v>
      </c>
      <c r="AS688" t="s">
        <v>3307</v>
      </c>
      <c r="AT688" t="s">
        <v>8315</v>
      </c>
      <c r="AU688">
        <v>2008</v>
      </c>
      <c r="AV688">
        <v>35</v>
      </c>
      <c r="AW688">
        <v>7</v>
      </c>
      <c r="AX688" t="s">
        <v>74</v>
      </c>
      <c r="AY688" t="s">
        <v>74</v>
      </c>
      <c r="AZ688" t="s">
        <v>74</v>
      </c>
      <c r="BA688" t="s">
        <v>74</v>
      </c>
      <c r="BB688" t="s">
        <v>74</v>
      </c>
      <c r="BC688" t="s">
        <v>74</v>
      </c>
      <c r="BD688" t="s">
        <v>8633</v>
      </c>
      <c r="BE688" t="s">
        <v>8634</v>
      </c>
      <c r="BF688" t="str">
        <f>HYPERLINK("http://dx.doi.org/10.1029/2008GL033221","http://dx.doi.org/10.1029/2008GL033221")</f>
        <v>http://dx.doi.org/10.1029/2008GL033221</v>
      </c>
      <c r="BG688" t="s">
        <v>74</v>
      </c>
      <c r="BH688" t="s">
        <v>74</v>
      </c>
      <c r="BI688">
        <v>5</v>
      </c>
      <c r="BJ688" t="s">
        <v>3093</v>
      </c>
      <c r="BK688" t="s">
        <v>419</v>
      </c>
      <c r="BL688" t="s">
        <v>3094</v>
      </c>
      <c r="BM688" t="s">
        <v>8635</v>
      </c>
      <c r="BN688" t="s">
        <v>74</v>
      </c>
      <c r="BO688" t="s">
        <v>3110</v>
      </c>
      <c r="BP688" t="s">
        <v>74</v>
      </c>
      <c r="BQ688" t="s">
        <v>74</v>
      </c>
      <c r="BR688" t="s">
        <v>101</v>
      </c>
      <c r="BS688" t="s">
        <v>8636</v>
      </c>
      <c r="BT688" t="str">
        <f>HYPERLINK("https%3A%2F%2Fwww.webofscience.com%2Fwos%2Fwoscc%2Ffull-record%2FWOS:000254716400003","View Full Record in Web of Science")</f>
        <v>View Full Record in Web of Science</v>
      </c>
    </row>
    <row r="689" spans="1:72" x14ac:dyDescent="0.15">
      <c r="A689" t="s">
        <v>72</v>
      </c>
      <c r="B689" t="s">
        <v>8637</v>
      </c>
      <c r="C689" t="s">
        <v>74</v>
      </c>
      <c r="D689" t="s">
        <v>74</v>
      </c>
      <c r="E689" t="s">
        <v>74</v>
      </c>
      <c r="F689" t="s">
        <v>8638</v>
      </c>
      <c r="G689" t="s">
        <v>74</v>
      </c>
      <c r="H689" t="s">
        <v>74</v>
      </c>
      <c r="I689" t="s">
        <v>8639</v>
      </c>
      <c r="J689" t="s">
        <v>8640</v>
      </c>
      <c r="K689" t="s">
        <v>74</v>
      </c>
      <c r="L689" t="s">
        <v>74</v>
      </c>
      <c r="M689" t="s">
        <v>78</v>
      </c>
      <c r="N689" t="s">
        <v>2737</v>
      </c>
      <c r="O689" t="s">
        <v>74</v>
      </c>
      <c r="P689" t="s">
        <v>74</v>
      </c>
      <c r="Q689" t="s">
        <v>74</v>
      </c>
      <c r="R689" t="s">
        <v>74</v>
      </c>
      <c r="S689" t="s">
        <v>74</v>
      </c>
      <c r="T689" t="s">
        <v>8641</v>
      </c>
      <c r="U689" t="s">
        <v>8642</v>
      </c>
      <c r="V689" t="s">
        <v>8643</v>
      </c>
      <c r="W689" t="s">
        <v>8644</v>
      </c>
      <c r="X689" t="s">
        <v>8645</v>
      </c>
      <c r="Y689" t="s">
        <v>8646</v>
      </c>
      <c r="Z689" t="s">
        <v>8647</v>
      </c>
      <c r="AA689" t="s">
        <v>8648</v>
      </c>
      <c r="AB689" t="s">
        <v>8649</v>
      </c>
      <c r="AC689" t="s">
        <v>74</v>
      </c>
      <c r="AD689" t="s">
        <v>74</v>
      </c>
      <c r="AE689" t="s">
        <v>74</v>
      </c>
      <c r="AF689" t="s">
        <v>74</v>
      </c>
      <c r="AG689">
        <v>43</v>
      </c>
      <c r="AH689">
        <v>109</v>
      </c>
      <c r="AI689">
        <v>116</v>
      </c>
      <c r="AJ689">
        <v>1</v>
      </c>
      <c r="AK689">
        <v>55</v>
      </c>
      <c r="AL689" t="s">
        <v>88</v>
      </c>
      <c r="AM689" t="s">
        <v>89</v>
      </c>
      <c r="AN689" t="s">
        <v>90</v>
      </c>
      <c r="AO689" t="s">
        <v>8650</v>
      </c>
      <c r="AP689" t="s">
        <v>8651</v>
      </c>
      <c r="AQ689" t="s">
        <v>74</v>
      </c>
      <c r="AR689" t="s">
        <v>8652</v>
      </c>
      <c r="AS689" t="s">
        <v>8653</v>
      </c>
      <c r="AT689" t="s">
        <v>7937</v>
      </c>
      <c r="AU689">
        <v>2008</v>
      </c>
      <c r="AV689">
        <v>14</v>
      </c>
      <c r="AW689">
        <v>4</v>
      </c>
      <c r="AX689" t="s">
        <v>74</v>
      </c>
      <c r="AY689" t="s">
        <v>74</v>
      </c>
      <c r="AZ689" t="s">
        <v>74</v>
      </c>
      <c r="BA689" t="s">
        <v>74</v>
      </c>
      <c r="BB689">
        <v>907</v>
      </c>
      <c r="BC689">
        <v>915</v>
      </c>
      <c r="BD689" t="s">
        <v>74</v>
      </c>
      <c r="BE689" t="s">
        <v>8654</v>
      </c>
      <c r="BF689" t="str">
        <f>HYPERLINK("http://dx.doi.org/10.1111/j.1365-2486.2008.01543.x","http://dx.doi.org/10.1111/j.1365-2486.2008.01543.x")</f>
        <v>http://dx.doi.org/10.1111/j.1365-2486.2008.01543.x</v>
      </c>
      <c r="BG689" t="s">
        <v>74</v>
      </c>
      <c r="BH689" t="s">
        <v>74</v>
      </c>
      <c r="BI689">
        <v>9</v>
      </c>
      <c r="BJ689" t="s">
        <v>6213</v>
      </c>
      <c r="BK689" t="s">
        <v>419</v>
      </c>
      <c r="BL689" t="s">
        <v>2896</v>
      </c>
      <c r="BM689" t="s">
        <v>8655</v>
      </c>
      <c r="BN689" t="s">
        <v>74</v>
      </c>
      <c r="BO689" t="s">
        <v>3290</v>
      </c>
      <c r="BP689" t="s">
        <v>74</v>
      </c>
      <c r="BQ689" t="s">
        <v>74</v>
      </c>
      <c r="BR689" t="s">
        <v>101</v>
      </c>
      <c r="BS689" t="s">
        <v>8656</v>
      </c>
      <c r="BT689" t="str">
        <f>HYPERLINK("https%3A%2F%2Fwww.webofscience.com%2Fwos%2Fwoscc%2Ffull-record%2FWOS:000254126300016","View Full Record in Web of Science")</f>
        <v>View Full Record in Web of Science</v>
      </c>
    </row>
    <row r="690" spans="1:72" x14ac:dyDescent="0.15">
      <c r="A690" t="s">
        <v>72</v>
      </c>
      <c r="B690" t="s">
        <v>8657</v>
      </c>
      <c r="C690" t="s">
        <v>74</v>
      </c>
      <c r="D690" t="s">
        <v>74</v>
      </c>
      <c r="E690" t="s">
        <v>74</v>
      </c>
      <c r="F690" t="s">
        <v>8658</v>
      </c>
      <c r="G690" t="s">
        <v>74</v>
      </c>
      <c r="H690" t="s">
        <v>74</v>
      </c>
      <c r="I690" t="s">
        <v>8659</v>
      </c>
      <c r="J690" t="s">
        <v>8660</v>
      </c>
      <c r="K690" t="s">
        <v>74</v>
      </c>
      <c r="L690" t="s">
        <v>74</v>
      </c>
      <c r="M690" t="s">
        <v>78</v>
      </c>
      <c r="N690" t="s">
        <v>2737</v>
      </c>
      <c r="O690" t="s">
        <v>74</v>
      </c>
      <c r="P690" t="s">
        <v>74</v>
      </c>
      <c r="Q690" t="s">
        <v>74</v>
      </c>
      <c r="R690" t="s">
        <v>74</v>
      </c>
      <c r="S690" t="s">
        <v>74</v>
      </c>
      <c r="T690" t="s">
        <v>8661</v>
      </c>
      <c r="U690" t="s">
        <v>8662</v>
      </c>
      <c r="V690" t="s">
        <v>8663</v>
      </c>
      <c r="W690" t="s">
        <v>8664</v>
      </c>
      <c r="X690" t="s">
        <v>8665</v>
      </c>
      <c r="Y690" t="s">
        <v>8666</v>
      </c>
      <c r="Z690" t="s">
        <v>74</v>
      </c>
      <c r="AA690" t="s">
        <v>74</v>
      </c>
      <c r="AB690" t="s">
        <v>8667</v>
      </c>
      <c r="AC690" t="s">
        <v>74</v>
      </c>
      <c r="AD690" t="s">
        <v>74</v>
      </c>
      <c r="AE690" t="s">
        <v>74</v>
      </c>
      <c r="AF690" t="s">
        <v>74</v>
      </c>
      <c r="AG690">
        <v>18</v>
      </c>
      <c r="AH690">
        <v>38</v>
      </c>
      <c r="AI690">
        <v>39</v>
      </c>
      <c r="AJ690">
        <v>2</v>
      </c>
      <c r="AK690">
        <v>10</v>
      </c>
      <c r="AL690" t="s">
        <v>8668</v>
      </c>
      <c r="AM690" t="s">
        <v>8669</v>
      </c>
      <c r="AN690" t="s">
        <v>8670</v>
      </c>
      <c r="AO690" t="s">
        <v>8671</v>
      </c>
      <c r="AP690" t="s">
        <v>8672</v>
      </c>
      <c r="AQ690" t="s">
        <v>74</v>
      </c>
      <c r="AR690" t="s">
        <v>8673</v>
      </c>
      <c r="AS690" t="s">
        <v>8674</v>
      </c>
      <c r="AT690" t="s">
        <v>7937</v>
      </c>
      <c r="AU690">
        <v>2008</v>
      </c>
      <c r="AV690">
        <v>5</v>
      </c>
      <c r="AW690">
        <v>2</v>
      </c>
      <c r="AX690" t="s">
        <v>74</v>
      </c>
      <c r="AY690" t="s">
        <v>74</v>
      </c>
      <c r="AZ690" t="s">
        <v>74</v>
      </c>
      <c r="BA690" t="s">
        <v>74</v>
      </c>
      <c r="BB690">
        <v>162</v>
      </c>
      <c r="BC690">
        <v>165</v>
      </c>
      <c r="BD690" t="s">
        <v>74</v>
      </c>
      <c r="BE690" t="s">
        <v>8675</v>
      </c>
      <c r="BF690" t="str">
        <f>HYPERLINK("http://dx.doi.org/10.1109/LGRS.2008.915603","http://dx.doi.org/10.1109/LGRS.2008.915603")</f>
        <v>http://dx.doi.org/10.1109/LGRS.2008.915603</v>
      </c>
      <c r="BG690" t="s">
        <v>74</v>
      </c>
      <c r="BH690" t="s">
        <v>74</v>
      </c>
      <c r="BI690">
        <v>4</v>
      </c>
      <c r="BJ690" t="s">
        <v>8676</v>
      </c>
      <c r="BK690" t="s">
        <v>419</v>
      </c>
      <c r="BL690" t="s">
        <v>8677</v>
      </c>
      <c r="BM690" t="s">
        <v>8678</v>
      </c>
      <c r="BN690" t="s">
        <v>74</v>
      </c>
      <c r="BO690" t="s">
        <v>74</v>
      </c>
      <c r="BP690" t="s">
        <v>74</v>
      </c>
      <c r="BQ690" t="s">
        <v>74</v>
      </c>
      <c r="BR690" t="s">
        <v>101</v>
      </c>
      <c r="BS690" t="s">
        <v>8679</v>
      </c>
      <c r="BT690" t="str">
        <f>HYPERLINK("https%3A%2F%2Fwww.webofscience.com%2Fwos%2Fwoscc%2Ffull-record%2FWOS:000258766900009","View Full Record in Web of Science")</f>
        <v>View Full Record in Web of Science</v>
      </c>
    </row>
    <row r="691" spans="1:72" x14ac:dyDescent="0.15">
      <c r="A691" t="s">
        <v>72</v>
      </c>
      <c r="B691" t="s">
        <v>8680</v>
      </c>
      <c r="C691" t="s">
        <v>74</v>
      </c>
      <c r="D691" t="s">
        <v>74</v>
      </c>
      <c r="E691" t="s">
        <v>74</v>
      </c>
      <c r="F691" t="s">
        <v>8681</v>
      </c>
      <c r="G691" t="s">
        <v>74</v>
      </c>
      <c r="H691" t="s">
        <v>74</v>
      </c>
      <c r="I691" t="s">
        <v>8682</v>
      </c>
      <c r="J691" t="s">
        <v>8683</v>
      </c>
      <c r="K691" t="s">
        <v>74</v>
      </c>
      <c r="L691" t="s">
        <v>74</v>
      </c>
      <c r="M691" t="s">
        <v>78</v>
      </c>
      <c r="N691" t="s">
        <v>2737</v>
      </c>
      <c r="O691" t="s">
        <v>74</v>
      </c>
      <c r="P691" t="s">
        <v>74</v>
      </c>
      <c r="Q691" t="s">
        <v>74</v>
      </c>
      <c r="R691" t="s">
        <v>74</v>
      </c>
      <c r="S691" t="s">
        <v>74</v>
      </c>
      <c r="T691" t="s">
        <v>8684</v>
      </c>
      <c r="U691" t="s">
        <v>8685</v>
      </c>
      <c r="V691" t="s">
        <v>8686</v>
      </c>
      <c r="W691" t="s">
        <v>8687</v>
      </c>
      <c r="X691" t="s">
        <v>8688</v>
      </c>
      <c r="Y691" t="s">
        <v>8689</v>
      </c>
      <c r="Z691" t="s">
        <v>8048</v>
      </c>
      <c r="AA691" t="s">
        <v>8049</v>
      </c>
      <c r="AB691" t="s">
        <v>8050</v>
      </c>
      <c r="AC691" t="s">
        <v>74</v>
      </c>
      <c r="AD691" t="s">
        <v>74</v>
      </c>
      <c r="AE691" t="s">
        <v>74</v>
      </c>
      <c r="AF691" t="s">
        <v>74</v>
      </c>
      <c r="AG691">
        <v>33</v>
      </c>
      <c r="AH691">
        <v>31</v>
      </c>
      <c r="AI691">
        <v>36</v>
      </c>
      <c r="AJ691">
        <v>0</v>
      </c>
      <c r="AK691">
        <v>24</v>
      </c>
      <c r="AL691" t="s">
        <v>88</v>
      </c>
      <c r="AM691" t="s">
        <v>89</v>
      </c>
      <c r="AN691" t="s">
        <v>90</v>
      </c>
      <c r="AO691" t="s">
        <v>8690</v>
      </c>
      <c r="AP691" t="s">
        <v>8691</v>
      </c>
      <c r="AQ691" t="s">
        <v>74</v>
      </c>
      <c r="AR691" t="s">
        <v>8692</v>
      </c>
      <c r="AS691" t="s">
        <v>8693</v>
      </c>
      <c r="AT691" t="s">
        <v>7937</v>
      </c>
      <c r="AU691">
        <v>2008</v>
      </c>
      <c r="AV691">
        <v>45</v>
      </c>
      <c r="AW691">
        <v>2</v>
      </c>
      <c r="AX691" t="s">
        <v>74</v>
      </c>
      <c r="AY691" t="s">
        <v>74</v>
      </c>
      <c r="AZ691" t="s">
        <v>74</v>
      </c>
      <c r="BA691" t="s">
        <v>74</v>
      </c>
      <c r="BB691">
        <v>622</v>
      </c>
      <c r="BC691">
        <v>631</v>
      </c>
      <c r="BD691" t="s">
        <v>74</v>
      </c>
      <c r="BE691" t="s">
        <v>8694</v>
      </c>
      <c r="BF691" t="str">
        <f>HYPERLINK("http://dx.doi.org/10.1111/j.1365-2664.2007.01399.x","http://dx.doi.org/10.1111/j.1365-2664.2007.01399.x")</f>
        <v>http://dx.doi.org/10.1111/j.1365-2664.2007.01399.x</v>
      </c>
      <c r="BG691" t="s">
        <v>74</v>
      </c>
      <c r="BH691" t="s">
        <v>74</v>
      </c>
      <c r="BI691">
        <v>10</v>
      </c>
      <c r="BJ691" t="s">
        <v>2895</v>
      </c>
      <c r="BK691" t="s">
        <v>419</v>
      </c>
      <c r="BL691" t="s">
        <v>2896</v>
      </c>
      <c r="BM691" t="s">
        <v>8695</v>
      </c>
      <c r="BN691" t="s">
        <v>74</v>
      </c>
      <c r="BO691" t="s">
        <v>3311</v>
      </c>
      <c r="BP691" t="s">
        <v>74</v>
      </c>
      <c r="BQ691" t="s">
        <v>74</v>
      </c>
      <c r="BR691" t="s">
        <v>101</v>
      </c>
      <c r="BS691" t="s">
        <v>8696</v>
      </c>
      <c r="BT691" t="str">
        <f>HYPERLINK("https%3A%2F%2Fwww.webofscience.com%2Fwos%2Fwoscc%2Ffull-record%2FWOS:000254192500024","View Full Record in Web of Science")</f>
        <v>View Full Record in Web of Science</v>
      </c>
    </row>
    <row r="692" spans="1:72" x14ac:dyDescent="0.15">
      <c r="A692" t="s">
        <v>72</v>
      </c>
      <c r="B692" t="s">
        <v>8697</v>
      </c>
      <c r="C692" t="s">
        <v>74</v>
      </c>
      <c r="D692" t="s">
        <v>74</v>
      </c>
      <c r="E692" t="s">
        <v>74</v>
      </c>
      <c r="F692" t="s">
        <v>8698</v>
      </c>
      <c r="G692" t="s">
        <v>74</v>
      </c>
      <c r="H692" t="s">
        <v>74</v>
      </c>
      <c r="I692" t="s">
        <v>8699</v>
      </c>
      <c r="J692" t="s">
        <v>3706</v>
      </c>
      <c r="K692" t="s">
        <v>74</v>
      </c>
      <c r="L692" t="s">
        <v>74</v>
      </c>
      <c r="M692" t="s">
        <v>78</v>
      </c>
      <c r="N692" t="s">
        <v>2737</v>
      </c>
      <c r="O692" t="s">
        <v>74</v>
      </c>
      <c r="P692" t="s">
        <v>74</v>
      </c>
      <c r="Q692" t="s">
        <v>74</v>
      </c>
      <c r="R692" t="s">
        <v>74</v>
      </c>
      <c r="S692" t="s">
        <v>74</v>
      </c>
      <c r="T692" t="s">
        <v>74</v>
      </c>
      <c r="U692" t="s">
        <v>8700</v>
      </c>
      <c r="V692" t="s">
        <v>8701</v>
      </c>
      <c r="W692" t="s">
        <v>8702</v>
      </c>
      <c r="X692" t="s">
        <v>8703</v>
      </c>
      <c r="Y692" t="s">
        <v>8704</v>
      </c>
      <c r="Z692" t="s">
        <v>8705</v>
      </c>
      <c r="AA692" t="s">
        <v>8706</v>
      </c>
      <c r="AB692" t="s">
        <v>8707</v>
      </c>
      <c r="AC692" t="s">
        <v>74</v>
      </c>
      <c r="AD692" t="s">
        <v>74</v>
      </c>
      <c r="AE692" t="s">
        <v>74</v>
      </c>
      <c r="AF692" t="s">
        <v>74</v>
      </c>
      <c r="AG692">
        <v>57</v>
      </c>
      <c r="AH692">
        <v>13</v>
      </c>
      <c r="AI692">
        <v>13</v>
      </c>
      <c r="AJ692">
        <v>0</v>
      </c>
      <c r="AK692">
        <v>5</v>
      </c>
      <c r="AL692" t="s">
        <v>3716</v>
      </c>
      <c r="AM692" t="s">
        <v>3717</v>
      </c>
      <c r="AN692" t="s">
        <v>3738</v>
      </c>
      <c r="AO692" t="s">
        <v>3719</v>
      </c>
      <c r="AP692" t="s">
        <v>3720</v>
      </c>
      <c r="AQ692" t="s">
        <v>74</v>
      </c>
      <c r="AR692" t="s">
        <v>3721</v>
      </c>
      <c r="AS692" t="s">
        <v>3722</v>
      </c>
      <c r="AT692" t="s">
        <v>8315</v>
      </c>
      <c r="AU692">
        <v>2008</v>
      </c>
      <c r="AV692">
        <v>21</v>
      </c>
      <c r="AW692">
        <v>7</v>
      </c>
      <c r="AX692" t="s">
        <v>74</v>
      </c>
      <c r="AY692" t="s">
        <v>74</v>
      </c>
      <c r="AZ692" t="s">
        <v>74</v>
      </c>
      <c r="BA692" t="s">
        <v>74</v>
      </c>
      <c r="BB692">
        <v>1467</v>
      </c>
      <c r="BC692">
        <v>1486</v>
      </c>
      <c r="BD692" t="s">
        <v>74</v>
      </c>
      <c r="BE692" t="s">
        <v>8708</v>
      </c>
      <c r="BF692" t="str">
        <f>HYPERLINK("http://dx.doi.org/10.1175/2007JCLI2060.1","http://dx.doi.org/10.1175/2007JCLI2060.1")</f>
        <v>http://dx.doi.org/10.1175/2007JCLI2060.1</v>
      </c>
      <c r="BG692" t="s">
        <v>74</v>
      </c>
      <c r="BH692" t="s">
        <v>74</v>
      </c>
      <c r="BI692">
        <v>20</v>
      </c>
      <c r="BJ692" t="s">
        <v>3071</v>
      </c>
      <c r="BK692" t="s">
        <v>419</v>
      </c>
      <c r="BL692" t="s">
        <v>3071</v>
      </c>
      <c r="BM692" t="s">
        <v>8709</v>
      </c>
      <c r="BN692" t="s">
        <v>74</v>
      </c>
      <c r="BO692" t="s">
        <v>3290</v>
      </c>
      <c r="BP692" t="s">
        <v>74</v>
      </c>
      <c r="BQ692" t="s">
        <v>74</v>
      </c>
      <c r="BR692" t="s">
        <v>101</v>
      </c>
      <c r="BS692" t="s">
        <v>8710</v>
      </c>
      <c r="BT692" t="str">
        <f>HYPERLINK("https%3A%2F%2Fwww.webofscience.com%2Fwos%2Fwoscc%2Ffull-record%2FWOS:000255004000002","View Full Record in Web of Science")</f>
        <v>View Full Record in Web of Science</v>
      </c>
    </row>
    <row r="693" spans="1:72" x14ac:dyDescent="0.15">
      <c r="A693" t="s">
        <v>72</v>
      </c>
      <c r="B693" t="s">
        <v>8711</v>
      </c>
      <c r="C693" t="s">
        <v>74</v>
      </c>
      <c r="D693" t="s">
        <v>74</v>
      </c>
      <c r="E693" t="s">
        <v>74</v>
      </c>
      <c r="F693" t="s">
        <v>8712</v>
      </c>
      <c r="G693" t="s">
        <v>74</v>
      </c>
      <c r="H693" t="s">
        <v>74</v>
      </c>
      <c r="I693" t="s">
        <v>8713</v>
      </c>
      <c r="J693" t="s">
        <v>3432</v>
      </c>
      <c r="K693" t="s">
        <v>74</v>
      </c>
      <c r="L693" t="s">
        <v>74</v>
      </c>
      <c r="M693" t="s">
        <v>78</v>
      </c>
      <c r="N693" t="s">
        <v>2737</v>
      </c>
      <c r="O693" t="s">
        <v>74</v>
      </c>
      <c r="P693" t="s">
        <v>74</v>
      </c>
      <c r="Q693" t="s">
        <v>74</v>
      </c>
      <c r="R693" t="s">
        <v>74</v>
      </c>
      <c r="S693" t="s">
        <v>74</v>
      </c>
      <c r="T693" t="s">
        <v>74</v>
      </c>
      <c r="U693" t="s">
        <v>8714</v>
      </c>
      <c r="V693" t="s">
        <v>8715</v>
      </c>
      <c r="W693" t="s">
        <v>8716</v>
      </c>
      <c r="X693" t="s">
        <v>8717</v>
      </c>
      <c r="Y693" t="s">
        <v>8718</v>
      </c>
      <c r="Z693" t="s">
        <v>8719</v>
      </c>
      <c r="AA693" t="s">
        <v>74</v>
      </c>
      <c r="AB693" t="s">
        <v>74</v>
      </c>
      <c r="AC693" t="s">
        <v>74</v>
      </c>
      <c r="AD693" t="s">
        <v>74</v>
      </c>
      <c r="AE693" t="s">
        <v>74</v>
      </c>
      <c r="AF693" t="s">
        <v>74</v>
      </c>
      <c r="AG693">
        <v>31</v>
      </c>
      <c r="AH693">
        <v>25</v>
      </c>
      <c r="AI693">
        <v>31</v>
      </c>
      <c r="AJ693">
        <v>1</v>
      </c>
      <c r="AK693">
        <v>18</v>
      </c>
      <c r="AL693" t="s">
        <v>3280</v>
      </c>
      <c r="AM693" t="s">
        <v>3281</v>
      </c>
      <c r="AN693" t="s">
        <v>3282</v>
      </c>
      <c r="AO693" t="s">
        <v>3439</v>
      </c>
      <c r="AP693" t="s">
        <v>3440</v>
      </c>
      <c r="AQ693" t="s">
        <v>74</v>
      </c>
      <c r="AR693" t="s">
        <v>3441</v>
      </c>
      <c r="AS693" t="s">
        <v>3442</v>
      </c>
      <c r="AT693" t="s">
        <v>8315</v>
      </c>
      <c r="AU693">
        <v>2008</v>
      </c>
      <c r="AV693">
        <v>113</v>
      </c>
      <c r="AW693" t="s">
        <v>7113</v>
      </c>
      <c r="AX693" t="s">
        <v>74</v>
      </c>
      <c r="AY693" t="s">
        <v>74</v>
      </c>
      <c r="AZ693" t="s">
        <v>74</v>
      </c>
      <c r="BA693" t="s">
        <v>74</v>
      </c>
      <c r="BB693" t="s">
        <v>74</v>
      </c>
      <c r="BC693" t="s">
        <v>74</v>
      </c>
      <c r="BD693" t="s">
        <v>8720</v>
      </c>
      <c r="BE693" t="s">
        <v>8721</v>
      </c>
      <c r="BF693" t="str">
        <f>HYPERLINK("http://dx.doi.org/10.1029/2007JC004285","http://dx.doi.org/10.1029/2007JC004285")</f>
        <v>http://dx.doi.org/10.1029/2007JC004285</v>
      </c>
      <c r="BG693" t="s">
        <v>74</v>
      </c>
      <c r="BH693" t="s">
        <v>74</v>
      </c>
      <c r="BI693">
        <v>10</v>
      </c>
      <c r="BJ693" t="s">
        <v>3447</v>
      </c>
      <c r="BK693" t="s">
        <v>419</v>
      </c>
      <c r="BL693" t="s">
        <v>3447</v>
      </c>
      <c r="BM693" t="s">
        <v>8722</v>
      </c>
      <c r="BN693" t="s">
        <v>74</v>
      </c>
      <c r="BO693" t="s">
        <v>3290</v>
      </c>
      <c r="BP693" t="s">
        <v>74</v>
      </c>
      <c r="BQ693" t="s">
        <v>74</v>
      </c>
      <c r="BR693" t="s">
        <v>101</v>
      </c>
      <c r="BS693" t="s">
        <v>8723</v>
      </c>
      <c r="BT693" t="str">
        <f>HYPERLINK("https%3A%2F%2Fwww.webofscience.com%2Fwos%2Fwoscc%2Ffull-record%2FWOS:000254717800001","View Full Record in Web of Science")</f>
        <v>View Full Record in Web of Science</v>
      </c>
    </row>
    <row r="694" spans="1:72" x14ac:dyDescent="0.15">
      <c r="A694" t="s">
        <v>72</v>
      </c>
      <c r="B694" t="s">
        <v>8724</v>
      </c>
      <c r="C694" t="s">
        <v>74</v>
      </c>
      <c r="D694" t="s">
        <v>74</v>
      </c>
      <c r="E694" t="s">
        <v>74</v>
      </c>
      <c r="F694" t="s">
        <v>8725</v>
      </c>
      <c r="G694" t="s">
        <v>74</v>
      </c>
      <c r="H694" t="s">
        <v>74</v>
      </c>
      <c r="I694" t="s">
        <v>8726</v>
      </c>
      <c r="J694" t="s">
        <v>8727</v>
      </c>
      <c r="K694" t="s">
        <v>74</v>
      </c>
      <c r="L694" t="s">
        <v>74</v>
      </c>
      <c r="M694" t="s">
        <v>78</v>
      </c>
      <c r="N694" t="s">
        <v>2737</v>
      </c>
      <c r="O694" t="s">
        <v>74</v>
      </c>
      <c r="P694" t="s">
        <v>74</v>
      </c>
      <c r="Q694" t="s">
        <v>74</v>
      </c>
      <c r="R694" t="s">
        <v>74</v>
      </c>
      <c r="S694" t="s">
        <v>74</v>
      </c>
      <c r="T694" t="s">
        <v>8728</v>
      </c>
      <c r="U694" t="s">
        <v>8729</v>
      </c>
      <c r="V694" t="s">
        <v>8730</v>
      </c>
      <c r="W694" t="s">
        <v>8731</v>
      </c>
      <c r="X694" t="s">
        <v>8732</v>
      </c>
      <c r="Y694" t="s">
        <v>8733</v>
      </c>
      <c r="Z694" t="s">
        <v>8734</v>
      </c>
      <c r="AA694" t="s">
        <v>8735</v>
      </c>
      <c r="AB694" t="s">
        <v>8736</v>
      </c>
      <c r="AC694" t="s">
        <v>74</v>
      </c>
      <c r="AD694" t="s">
        <v>74</v>
      </c>
      <c r="AE694" t="s">
        <v>74</v>
      </c>
      <c r="AF694" t="s">
        <v>74</v>
      </c>
      <c r="AG694">
        <v>56</v>
      </c>
      <c r="AH694">
        <v>135</v>
      </c>
      <c r="AI694">
        <v>147</v>
      </c>
      <c r="AJ694">
        <v>0</v>
      </c>
      <c r="AK694">
        <v>65</v>
      </c>
      <c r="AL694" t="s">
        <v>3007</v>
      </c>
      <c r="AM694" t="s">
        <v>3008</v>
      </c>
      <c r="AN694" t="s">
        <v>3009</v>
      </c>
      <c r="AO694" t="s">
        <v>8737</v>
      </c>
      <c r="AP694" t="s">
        <v>8738</v>
      </c>
      <c r="AQ694" t="s">
        <v>74</v>
      </c>
      <c r="AR694" t="s">
        <v>8739</v>
      </c>
      <c r="AS694" t="s">
        <v>8740</v>
      </c>
      <c r="AT694" t="s">
        <v>7937</v>
      </c>
      <c r="AU694">
        <v>2008</v>
      </c>
      <c r="AV694">
        <v>54</v>
      </c>
      <c r="AW694">
        <v>4</v>
      </c>
      <c r="AX694" t="s">
        <v>74</v>
      </c>
      <c r="AY694" t="s">
        <v>74</v>
      </c>
      <c r="AZ694" t="s">
        <v>74</v>
      </c>
      <c r="BA694" t="s">
        <v>74</v>
      </c>
      <c r="BB694">
        <v>645</v>
      </c>
      <c r="BC694">
        <v>655</v>
      </c>
      <c r="BD694" t="s">
        <v>74</v>
      </c>
      <c r="BE694" t="s">
        <v>8741</v>
      </c>
      <c r="BF694" t="str">
        <f>HYPERLINK("http://dx.doi.org/10.1016/j.jinsphys.2008.01.003","http://dx.doi.org/10.1016/j.jinsphys.2008.01.003")</f>
        <v>http://dx.doi.org/10.1016/j.jinsphys.2008.01.003</v>
      </c>
      <c r="BG694" t="s">
        <v>74</v>
      </c>
      <c r="BH694" t="s">
        <v>74</v>
      </c>
      <c r="BI694">
        <v>11</v>
      </c>
      <c r="BJ694" t="s">
        <v>8742</v>
      </c>
      <c r="BK694" t="s">
        <v>419</v>
      </c>
      <c r="BL694" t="s">
        <v>8742</v>
      </c>
      <c r="BM694" t="s">
        <v>8743</v>
      </c>
      <c r="BN694">
        <v>18313070</v>
      </c>
      <c r="BO694" t="s">
        <v>74</v>
      </c>
      <c r="BP694" t="s">
        <v>74</v>
      </c>
      <c r="BQ694" t="s">
        <v>74</v>
      </c>
      <c r="BR694" t="s">
        <v>101</v>
      </c>
      <c r="BS694" t="s">
        <v>8744</v>
      </c>
      <c r="BT694" t="str">
        <f>HYPERLINK("https%3A%2F%2Fwww.webofscience.com%2Fwos%2Fwoscc%2Ffull-record%2FWOS:000255809400001","View Full Record in Web of Science")</f>
        <v>View Full Record in Web of Science</v>
      </c>
    </row>
    <row r="695" spans="1:72" x14ac:dyDescent="0.15">
      <c r="A695" t="s">
        <v>72</v>
      </c>
      <c r="B695" t="s">
        <v>8745</v>
      </c>
      <c r="C695" t="s">
        <v>74</v>
      </c>
      <c r="D695" t="s">
        <v>74</v>
      </c>
      <c r="E695" t="s">
        <v>74</v>
      </c>
      <c r="F695" t="s">
        <v>8746</v>
      </c>
      <c r="G695" t="s">
        <v>74</v>
      </c>
      <c r="H695" t="s">
        <v>74</v>
      </c>
      <c r="I695" t="s">
        <v>8747</v>
      </c>
      <c r="J695" t="s">
        <v>8748</v>
      </c>
      <c r="K695" t="s">
        <v>74</v>
      </c>
      <c r="L695" t="s">
        <v>74</v>
      </c>
      <c r="M695" t="s">
        <v>78</v>
      </c>
      <c r="N695" t="s">
        <v>2737</v>
      </c>
      <c r="O695" t="s">
        <v>74</v>
      </c>
      <c r="P695" t="s">
        <v>74</v>
      </c>
      <c r="Q695" t="s">
        <v>74</v>
      </c>
      <c r="R695" t="s">
        <v>74</v>
      </c>
      <c r="S695" t="s">
        <v>74</v>
      </c>
      <c r="T695" t="s">
        <v>74</v>
      </c>
      <c r="U695" t="s">
        <v>8749</v>
      </c>
      <c r="V695" t="s">
        <v>8750</v>
      </c>
      <c r="W695" t="s">
        <v>8751</v>
      </c>
      <c r="X695" t="s">
        <v>8752</v>
      </c>
      <c r="Y695" t="s">
        <v>8753</v>
      </c>
      <c r="Z695" t="s">
        <v>8754</v>
      </c>
      <c r="AA695" t="s">
        <v>74</v>
      </c>
      <c r="AB695" t="s">
        <v>74</v>
      </c>
      <c r="AC695" t="s">
        <v>74</v>
      </c>
      <c r="AD695" t="s">
        <v>74</v>
      </c>
      <c r="AE695" t="s">
        <v>74</v>
      </c>
      <c r="AF695" t="s">
        <v>74</v>
      </c>
      <c r="AG695">
        <v>17</v>
      </c>
      <c r="AH695">
        <v>29</v>
      </c>
      <c r="AI695">
        <v>34</v>
      </c>
      <c r="AJ695">
        <v>0</v>
      </c>
      <c r="AK695">
        <v>11</v>
      </c>
      <c r="AL695" t="s">
        <v>4064</v>
      </c>
      <c r="AM695" t="s">
        <v>3281</v>
      </c>
      <c r="AN695" t="s">
        <v>4065</v>
      </c>
      <c r="AO695" t="s">
        <v>8755</v>
      </c>
      <c r="AP695" t="s">
        <v>8756</v>
      </c>
      <c r="AQ695" t="s">
        <v>74</v>
      </c>
      <c r="AR695" t="s">
        <v>8757</v>
      </c>
      <c r="AS695" t="s">
        <v>8758</v>
      </c>
      <c r="AT695" t="s">
        <v>7937</v>
      </c>
      <c r="AU695">
        <v>2008</v>
      </c>
      <c r="AV695">
        <v>71</v>
      </c>
      <c r="AW695">
        <v>4</v>
      </c>
      <c r="AX695" t="s">
        <v>74</v>
      </c>
      <c r="AY695" t="s">
        <v>74</v>
      </c>
      <c r="AZ695" t="s">
        <v>74</v>
      </c>
      <c r="BA695" t="s">
        <v>74</v>
      </c>
      <c r="BB695">
        <v>710</v>
      </c>
      <c r="BC695">
        <v>712</v>
      </c>
      <c r="BD695" t="s">
        <v>74</v>
      </c>
      <c r="BE695" t="s">
        <v>8759</v>
      </c>
      <c r="BF695" t="str">
        <f>HYPERLINK("http://dx.doi.org/10.1021/np070464b","http://dx.doi.org/10.1021/np070464b")</f>
        <v>http://dx.doi.org/10.1021/np070464b</v>
      </c>
      <c r="BG695" t="s">
        <v>74</v>
      </c>
      <c r="BH695" t="s">
        <v>74</v>
      </c>
      <c r="BI695">
        <v>3</v>
      </c>
      <c r="BJ695" t="s">
        <v>8760</v>
      </c>
      <c r="BK695" t="s">
        <v>5539</v>
      </c>
      <c r="BL695" t="s">
        <v>8761</v>
      </c>
      <c r="BM695" t="s">
        <v>8762</v>
      </c>
      <c r="BN695">
        <v>18288807</v>
      </c>
      <c r="BO695" t="s">
        <v>74</v>
      </c>
      <c r="BP695" t="s">
        <v>74</v>
      </c>
      <c r="BQ695" t="s">
        <v>74</v>
      </c>
      <c r="BR695" t="s">
        <v>101</v>
      </c>
      <c r="BS695" t="s">
        <v>8763</v>
      </c>
      <c r="BT695" t="str">
        <f>HYPERLINK("https%3A%2F%2Fwww.webofscience.com%2Fwos%2Fwoscc%2Ffull-record%2FWOS:000255339100038","View Full Record in Web of Science")</f>
        <v>View Full Record in Web of Science</v>
      </c>
    </row>
    <row r="696" spans="1:72" x14ac:dyDescent="0.15">
      <c r="A696" t="s">
        <v>72</v>
      </c>
      <c r="B696" t="s">
        <v>8764</v>
      </c>
      <c r="C696" t="s">
        <v>74</v>
      </c>
      <c r="D696" t="s">
        <v>74</v>
      </c>
      <c r="E696" t="s">
        <v>74</v>
      </c>
      <c r="F696" t="s">
        <v>8765</v>
      </c>
      <c r="G696" t="s">
        <v>74</v>
      </c>
      <c r="H696" t="s">
        <v>74</v>
      </c>
      <c r="I696" t="s">
        <v>8766</v>
      </c>
      <c r="J696" t="s">
        <v>8767</v>
      </c>
      <c r="K696" t="s">
        <v>74</v>
      </c>
      <c r="L696" t="s">
        <v>74</v>
      </c>
      <c r="M696" t="s">
        <v>78</v>
      </c>
      <c r="N696" t="s">
        <v>3318</v>
      </c>
      <c r="O696" t="s">
        <v>8768</v>
      </c>
      <c r="P696" t="s">
        <v>8769</v>
      </c>
      <c r="Q696" t="s">
        <v>8770</v>
      </c>
      <c r="R696" t="s">
        <v>74</v>
      </c>
      <c r="S696" t="s">
        <v>74</v>
      </c>
      <c r="T696" t="s">
        <v>8771</v>
      </c>
      <c r="U696" t="s">
        <v>8772</v>
      </c>
      <c r="V696" t="s">
        <v>8773</v>
      </c>
      <c r="W696" t="s">
        <v>8774</v>
      </c>
      <c r="X696" t="s">
        <v>8775</v>
      </c>
      <c r="Y696" t="s">
        <v>8776</v>
      </c>
      <c r="Z696" t="s">
        <v>8777</v>
      </c>
      <c r="AA696" t="s">
        <v>74</v>
      </c>
      <c r="AB696" t="s">
        <v>74</v>
      </c>
      <c r="AC696" t="s">
        <v>74</v>
      </c>
      <c r="AD696" t="s">
        <v>74</v>
      </c>
      <c r="AE696" t="s">
        <v>74</v>
      </c>
      <c r="AF696" t="s">
        <v>74</v>
      </c>
      <c r="AG696">
        <v>59</v>
      </c>
      <c r="AH696">
        <v>12</v>
      </c>
      <c r="AI696">
        <v>14</v>
      </c>
      <c r="AJ696">
        <v>4</v>
      </c>
      <c r="AK696">
        <v>31</v>
      </c>
      <c r="AL696" t="s">
        <v>2746</v>
      </c>
      <c r="AM696" t="s">
        <v>2793</v>
      </c>
      <c r="AN696" t="s">
        <v>2794</v>
      </c>
      <c r="AO696" t="s">
        <v>8778</v>
      </c>
      <c r="AP696" t="s">
        <v>74</v>
      </c>
      <c r="AQ696" t="s">
        <v>74</v>
      </c>
      <c r="AR696" t="s">
        <v>8779</v>
      </c>
      <c r="AS696" t="s">
        <v>8780</v>
      </c>
      <c r="AT696" t="s">
        <v>7937</v>
      </c>
      <c r="AU696">
        <v>2008</v>
      </c>
      <c r="AV696">
        <v>64</v>
      </c>
      <c r="AW696">
        <v>2</v>
      </c>
      <c r="AX696" t="s">
        <v>74</v>
      </c>
      <c r="AY696" t="s">
        <v>74</v>
      </c>
      <c r="AZ696" t="s">
        <v>74</v>
      </c>
      <c r="BA696" t="s">
        <v>74</v>
      </c>
      <c r="BB696">
        <v>233</v>
      </c>
      <c r="BC696">
        <v>245</v>
      </c>
      <c r="BD696" t="s">
        <v>74</v>
      </c>
      <c r="BE696" t="s">
        <v>8781</v>
      </c>
      <c r="BF696" t="str">
        <f>HYPERLINK("http://dx.doi.org/10.1007/s10872-008-0018-0","http://dx.doi.org/10.1007/s10872-008-0018-0")</f>
        <v>http://dx.doi.org/10.1007/s10872-008-0018-0</v>
      </c>
      <c r="BG696" t="s">
        <v>74</v>
      </c>
      <c r="BH696" t="s">
        <v>74</v>
      </c>
      <c r="BI696">
        <v>13</v>
      </c>
      <c r="BJ696" t="s">
        <v>3447</v>
      </c>
      <c r="BK696" t="s">
        <v>99</v>
      </c>
      <c r="BL696" t="s">
        <v>3447</v>
      </c>
      <c r="BM696" t="s">
        <v>8782</v>
      </c>
      <c r="BN696" t="s">
        <v>74</v>
      </c>
      <c r="BO696" t="s">
        <v>74</v>
      </c>
      <c r="BP696" t="s">
        <v>74</v>
      </c>
      <c r="BQ696" t="s">
        <v>74</v>
      </c>
      <c r="BR696" t="s">
        <v>101</v>
      </c>
      <c r="BS696" t="s">
        <v>8783</v>
      </c>
      <c r="BT696" t="str">
        <f>HYPERLINK("https%3A%2F%2Fwww.webofscience.com%2Fwos%2Fwoscc%2Ffull-record%2FWOS:000253545400009","View Full Record in Web of Science")</f>
        <v>View Full Record in Web of Science</v>
      </c>
    </row>
    <row r="697" spans="1:72" x14ac:dyDescent="0.15">
      <c r="A697" t="s">
        <v>72</v>
      </c>
      <c r="B697" t="s">
        <v>8784</v>
      </c>
      <c r="C697" t="s">
        <v>74</v>
      </c>
      <c r="D697" t="s">
        <v>74</v>
      </c>
      <c r="E697" t="s">
        <v>74</v>
      </c>
      <c r="F697" t="s">
        <v>8785</v>
      </c>
      <c r="G697" t="s">
        <v>74</v>
      </c>
      <c r="H697" t="s">
        <v>74</v>
      </c>
      <c r="I697" t="s">
        <v>8786</v>
      </c>
      <c r="J697" t="s">
        <v>8787</v>
      </c>
      <c r="K697" t="s">
        <v>74</v>
      </c>
      <c r="L697" t="s">
        <v>74</v>
      </c>
      <c r="M697" t="s">
        <v>78</v>
      </c>
      <c r="N697" t="s">
        <v>2958</v>
      </c>
      <c r="O697" t="s">
        <v>74</v>
      </c>
      <c r="P697" t="s">
        <v>74</v>
      </c>
      <c r="Q697" t="s">
        <v>74</v>
      </c>
      <c r="R697" t="s">
        <v>74</v>
      </c>
      <c r="S697" t="s">
        <v>74</v>
      </c>
      <c r="T697" t="s">
        <v>8788</v>
      </c>
      <c r="U697" t="s">
        <v>8789</v>
      </c>
      <c r="V697" t="s">
        <v>8790</v>
      </c>
      <c r="W697" t="s">
        <v>8791</v>
      </c>
      <c r="X697" t="s">
        <v>8792</v>
      </c>
      <c r="Y697" t="s">
        <v>8793</v>
      </c>
      <c r="Z697" t="s">
        <v>8794</v>
      </c>
      <c r="AA697" t="s">
        <v>8795</v>
      </c>
      <c r="AB697" t="s">
        <v>8796</v>
      </c>
      <c r="AC697" t="s">
        <v>74</v>
      </c>
      <c r="AD697" t="s">
        <v>74</v>
      </c>
      <c r="AE697" t="s">
        <v>74</v>
      </c>
      <c r="AF697" t="s">
        <v>74</v>
      </c>
      <c r="AG697">
        <v>116</v>
      </c>
      <c r="AH697">
        <v>176</v>
      </c>
      <c r="AI697">
        <v>209</v>
      </c>
      <c r="AJ697">
        <v>7</v>
      </c>
      <c r="AK697">
        <v>105</v>
      </c>
      <c r="AL697" t="s">
        <v>4682</v>
      </c>
      <c r="AM697" t="s">
        <v>3008</v>
      </c>
      <c r="AN697" t="s">
        <v>4683</v>
      </c>
      <c r="AO697" t="s">
        <v>8797</v>
      </c>
      <c r="AP697" t="s">
        <v>74</v>
      </c>
      <c r="AQ697" t="s">
        <v>74</v>
      </c>
      <c r="AR697" t="s">
        <v>8798</v>
      </c>
      <c r="AS697" t="s">
        <v>8799</v>
      </c>
      <c r="AT697" t="s">
        <v>7937</v>
      </c>
      <c r="AU697">
        <v>2008</v>
      </c>
      <c r="AV697">
        <v>49</v>
      </c>
      <c r="AW697">
        <v>4</v>
      </c>
      <c r="AX697" t="s">
        <v>74</v>
      </c>
      <c r="AY697" t="s">
        <v>74</v>
      </c>
      <c r="AZ697" t="s">
        <v>74</v>
      </c>
      <c r="BA697" t="s">
        <v>74</v>
      </c>
      <c r="BB697">
        <v>633</v>
      </c>
      <c r="BC697">
        <v>664</v>
      </c>
      <c r="BD697" t="s">
        <v>74</v>
      </c>
      <c r="BE697" t="s">
        <v>8800</v>
      </c>
      <c r="BF697" t="str">
        <f>HYPERLINK("http://dx.doi.org/10.1093/petrology/egm051","http://dx.doi.org/10.1093/petrology/egm051")</f>
        <v>http://dx.doi.org/10.1093/petrology/egm051</v>
      </c>
      <c r="BG697" t="s">
        <v>74</v>
      </c>
      <c r="BH697" t="s">
        <v>74</v>
      </c>
      <c r="BI697">
        <v>32</v>
      </c>
      <c r="BJ697" t="s">
        <v>98</v>
      </c>
      <c r="BK697" t="s">
        <v>419</v>
      </c>
      <c r="BL697" t="s">
        <v>98</v>
      </c>
      <c r="BM697" t="s">
        <v>8801</v>
      </c>
      <c r="BN697" t="s">
        <v>74</v>
      </c>
      <c r="BO697" t="s">
        <v>3290</v>
      </c>
      <c r="BP697" t="s">
        <v>74</v>
      </c>
      <c r="BQ697" t="s">
        <v>74</v>
      </c>
      <c r="BR697" t="s">
        <v>101</v>
      </c>
      <c r="BS697" t="s">
        <v>8802</v>
      </c>
      <c r="BT697" t="str">
        <f>HYPERLINK("https%3A%2F%2Fwww.webofscience.com%2Fwos%2Fwoscc%2Ffull-record%2FWOS:000254472500004","View Full Record in Web of Science")</f>
        <v>View Full Record in Web of Science</v>
      </c>
    </row>
    <row r="698" spans="1:72" x14ac:dyDescent="0.15">
      <c r="A698" t="s">
        <v>72</v>
      </c>
      <c r="B698" t="s">
        <v>8803</v>
      </c>
      <c r="C698" t="s">
        <v>74</v>
      </c>
      <c r="D698" t="s">
        <v>74</v>
      </c>
      <c r="E698" t="s">
        <v>74</v>
      </c>
      <c r="F698" t="s">
        <v>8804</v>
      </c>
      <c r="G698" t="s">
        <v>74</v>
      </c>
      <c r="H698" t="s">
        <v>74</v>
      </c>
      <c r="I698" t="s">
        <v>8805</v>
      </c>
      <c r="J698" t="s">
        <v>8806</v>
      </c>
      <c r="K698" t="s">
        <v>74</v>
      </c>
      <c r="L698" t="s">
        <v>74</v>
      </c>
      <c r="M698" t="s">
        <v>78</v>
      </c>
      <c r="N698" t="s">
        <v>2737</v>
      </c>
      <c r="O698" t="s">
        <v>74</v>
      </c>
      <c r="P698" t="s">
        <v>74</v>
      </c>
      <c r="Q698" t="s">
        <v>74</v>
      </c>
      <c r="R698" t="s">
        <v>74</v>
      </c>
      <c r="S698" t="s">
        <v>74</v>
      </c>
      <c r="T698" t="s">
        <v>74</v>
      </c>
      <c r="U698" t="s">
        <v>8807</v>
      </c>
      <c r="V698" t="s">
        <v>8808</v>
      </c>
      <c r="W698" t="s">
        <v>8809</v>
      </c>
      <c r="X698" t="s">
        <v>8810</v>
      </c>
      <c r="Y698" t="s">
        <v>8811</v>
      </c>
      <c r="Z698" t="s">
        <v>8812</v>
      </c>
      <c r="AA698" t="s">
        <v>7436</v>
      </c>
      <c r="AB698" t="s">
        <v>8813</v>
      </c>
      <c r="AC698" t="s">
        <v>4867</v>
      </c>
      <c r="AD698" t="s">
        <v>2792</v>
      </c>
      <c r="AE698" t="s">
        <v>74</v>
      </c>
      <c r="AF698" t="s">
        <v>74</v>
      </c>
      <c r="AG698">
        <v>40</v>
      </c>
      <c r="AH698">
        <v>81</v>
      </c>
      <c r="AI698">
        <v>87</v>
      </c>
      <c r="AJ698">
        <v>0</v>
      </c>
      <c r="AK698">
        <v>20</v>
      </c>
      <c r="AL698" t="s">
        <v>3716</v>
      </c>
      <c r="AM698" t="s">
        <v>3717</v>
      </c>
      <c r="AN698" t="s">
        <v>3738</v>
      </c>
      <c r="AO698" t="s">
        <v>8814</v>
      </c>
      <c r="AP698" t="s">
        <v>8815</v>
      </c>
      <c r="AQ698" t="s">
        <v>74</v>
      </c>
      <c r="AR698" t="s">
        <v>8816</v>
      </c>
      <c r="AS698" t="s">
        <v>8817</v>
      </c>
      <c r="AT698" t="s">
        <v>7937</v>
      </c>
      <c r="AU698">
        <v>2008</v>
      </c>
      <c r="AV698">
        <v>65</v>
      </c>
      <c r="AW698">
        <v>4</v>
      </c>
      <c r="AX698" t="s">
        <v>74</v>
      </c>
      <c r="AY698" t="s">
        <v>74</v>
      </c>
      <c r="AZ698" t="s">
        <v>74</v>
      </c>
      <c r="BA698" t="s">
        <v>74</v>
      </c>
      <c r="BB698">
        <v>1396</v>
      </c>
      <c r="BC698">
        <v>1413</v>
      </c>
      <c r="BD698" t="s">
        <v>74</v>
      </c>
      <c r="BE698" t="s">
        <v>8818</v>
      </c>
      <c r="BF698" t="str">
        <f>HYPERLINK("http://dx.doi.org/10.1175/2007JAS2498.1","http://dx.doi.org/10.1175/2007JAS2498.1")</f>
        <v>http://dx.doi.org/10.1175/2007JAS2498.1</v>
      </c>
      <c r="BG698" t="s">
        <v>74</v>
      </c>
      <c r="BH698" t="s">
        <v>74</v>
      </c>
      <c r="BI698">
        <v>18</v>
      </c>
      <c r="BJ698" t="s">
        <v>3071</v>
      </c>
      <c r="BK698" t="s">
        <v>419</v>
      </c>
      <c r="BL698" t="s">
        <v>3071</v>
      </c>
      <c r="BM698" t="s">
        <v>8819</v>
      </c>
      <c r="BN698" t="s">
        <v>74</v>
      </c>
      <c r="BO698" t="s">
        <v>8820</v>
      </c>
      <c r="BP698" t="s">
        <v>74</v>
      </c>
      <c r="BQ698" t="s">
        <v>74</v>
      </c>
      <c r="BR698" t="s">
        <v>101</v>
      </c>
      <c r="BS698" t="s">
        <v>8821</v>
      </c>
      <c r="BT698" t="str">
        <f>HYPERLINK("https%3A%2F%2Fwww.webofscience.com%2Fwos%2Fwoscc%2Ffull-record%2FWOS:000255362400015","View Full Record in Web of Science")</f>
        <v>View Full Record in Web of Science</v>
      </c>
    </row>
    <row r="699" spans="1:72" x14ac:dyDescent="0.15">
      <c r="A699" t="s">
        <v>72</v>
      </c>
      <c r="B699" t="s">
        <v>8822</v>
      </c>
      <c r="C699" t="s">
        <v>74</v>
      </c>
      <c r="D699" t="s">
        <v>74</v>
      </c>
      <c r="E699" t="s">
        <v>74</v>
      </c>
      <c r="F699" t="s">
        <v>8823</v>
      </c>
      <c r="G699" t="s">
        <v>74</v>
      </c>
      <c r="H699" t="s">
        <v>74</v>
      </c>
      <c r="I699" t="s">
        <v>8824</v>
      </c>
      <c r="J699" t="s">
        <v>5024</v>
      </c>
      <c r="K699" t="s">
        <v>74</v>
      </c>
      <c r="L699" t="s">
        <v>74</v>
      </c>
      <c r="M699" t="s">
        <v>78</v>
      </c>
      <c r="N699" t="s">
        <v>2737</v>
      </c>
      <c r="O699" t="s">
        <v>74</v>
      </c>
      <c r="P699" t="s">
        <v>74</v>
      </c>
      <c r="Q699" t="s">
        <v>74</v>
      </c>
      <c r="R699" t="s">
        <v>74</v>
      </c>
      <c r="S699" t="s">
        <v>74</v>
      </c>
      <c r="T699" t="s">
        <v>74</v>
      </c>
      <c r="U699" t="s">
        <v>8825</v>
      </c>
      <c r="V699" t="s">
        <v>8826</v>
      </c>
      <c r="W699" t="s">
        <v>8827</v>
      </c>
      <c r="X699" t="s">
        <v>5585</v>
      </c>
      <c r="Y699" t="s">
        <v>8828</v>
      </c>
      <c r="Z699" t="s">
        <v>8829</v>
      </c>
      <c r="AA699" t="s">
        <v>74</v>
      </c>
      <c r="AB699" t="s">
        <v>74</v>
      </c>
      <c r="AC699" t="s">
        <v>74</v>
      </c>
      <c r="AD699" t="s">
        <v>74</v>
      </c>
      <c r="AE699" t="s">
        <v>74</v>
      </c>
      <c r="AF699" t="s">
        <v>74</v>
      </c>
      <c r="AG699">
        <v>51</v>
      </c>
      <c r="AH699">
        <v>47</v>
      </c>
      <c r="AI699">
        <v>52</v>
      </c>
      <c r="AJ699">
        <v>0</v>
      </c>
      <c r="AK699">
        <v>32</v>
      </c>
      <c r="AL699" t="s">
        <v>4746</v>
      </c>
      <c r="AM699" t="s">
        <v>4747</v>
      </c>
      <c r="AN699" t="s">
        <v>4748</v>
      </c>
      <c r="AO699" t="s">
        <v>5031</v>
      </c>
      <c r="AP699" t="s">
        <v>5048</v>
      </c>
      <c r="AQ699" t="s">
        <v>74</v>
      </c>
      <c r="AR699" t="s">
        <v>5032</v>
      </c>
      <c r="AS699" t="s">
        <v>5033</v>
      </c>
      <c r="AT699" t="s">
        <v>7937</v>
      </c>
      <c r="AU699">
        <v>2008</v>
      </c>
      <c r="AV699">
        <v>154</v>
      </c>
      <c r="AW699">
        <v>2</v>
      </c>
      <c r="AX699" t="s">
        <v>74</v>
      </c>
      <c r="AY699" t="s">
        <v>74</v>
      </c>
      <c r="AZ699" t="s">
        <v>74</v>
      </c>
      <c r="BA699" t="s">
        <v>74</v>
      </c>
      <c r="BB699">
        <v>201</v>
      </c>
      <c r="BC699">
        <v>208</v>
      </c>
      <c r="BD699" t="s">
        <v>74</v>
      </c>
      <c r="BE699" t="s">
        <v>8830</v>
      </c>
      <c r="BF699" t="str">
        <f>HYPERLINK("http://dx.doi.org/10.1007/s00227-008-0909-z","http://dx.doi.org/10.1007/s00227-008-0909-z")</f>
        <v>http://dx.doi.org/10.1007/s00227-008-0909-z</v>
      </c>
      <c r="BG699" t="s">
        <v>74</v>
      </c>
      <c r="BH699" t="s">
        <v>74</v>
      </c>
      <c r="BI699">
        <v>8</v>
      </c>
      <c r="BJ699" t="s">
        <v>5035</v>
      </c>
      <c r="BK699" t="s">
        <v>419</v>
      </c>
      <c r="BL699" t="s">
        <v>5035</v>
      </c>
      <c r="BM699" t="s">
        <v>8831</v>
      </c>
      <c r="BN699" t="s">
        <v>74</v>
      </c>
      <c r="BO699" t="s">
        <v>74</v>
      </c>
      <c r="BP699" t="s">
        <v>74</v>
      </c>
      <c r="BQ699" t="s">
        <v>74</v>
      </c>
      <c r="BR699" t="s">
        <v>101</v>
      </c>
      <c r="BS699" t="s">
        <v>8832</v>
      </c>
      <c r="BT699" t="str">
        <f>HYPERLINK("https%3A%2F%2Fwww.webofscience.com%2Fwos%2Fwoscc%2Ffull-record%2FWOS:000254751400001","View Full Record in Web of Science")</f>
        <v>View Full Record in Web of Science</v>
      </c>
    </row>
    <row r="700" spans="1:72" x14ac:dyDescent="0.15">
      <c r="A700" t="s">
        <v>72</v>
      </c>
      <c r="B700" t="s">
        <v>8833</v>
      </c>
      <c r="C700" t="s">
        <v>74</v>
      </c>
      <c r="D700" t="s">
        <v>74</v>
      </c>
      <c r="E700" t="s">
        <v>74</v>
      </c>
      <c r="F700" t="s">
        <v>8834</v>
      </c>
      <c r="G700" t="s">
        <v>74</v>
      </c>
      <c r="H700" t="s">
        <v>74</v>
      </c>
      <c r="I700" t="s">
        <v>8835</v>
      </c>
      <c r="J700" t="s">
        <v>5024</v>
      </c>
      <c r="K700" t="s">
        <v>74</v>
      </c>
      <c r="L700" t="s">
        <v>74</v>
      </c>
      <c r="M700" t="s">
        <v>78</v>
      </c>
      <c r="N700" t="s">
        <v>2737</v>
      </c>
      <c r="O700" t="s">
        <v>74</v>
      </c>
      <c r="P700" t="s">
        <v>74</v>
      </c>
      <c r="Q700" t="s">
        <v>74</v>
      </c>
      <c r="R700" t="s">
        <v>74</v>
      </c>
      <c r="S700" t="s">
        <v>74</v>
      </c>
      <c r="T700" t="s">
        <v>74</v>
      </c>
      <c r="U700" t="s">
        <v>8836</v>
      </c>
      <c r="V700" t="s">
        <v>8837</v>
      </c>
      <c r="W700" t="s">
        <v>8838</v>
      </c>
      <c r="X700" t="s">
        <v>8839</v>
      </c>
      <c r="Y700" t="s">
        <v>8840</v>
      </c>
      <c r="Z700" t="s">
        <v>8841</v>
      </c>
      <c r="AA700" t="s">
        <v>8842</v>
      </c>
      <c r="AB700" t="s">
        <v>8843</v>
      </c>
      <c r="AC700" t="s">
        <v>74</v>
      </c>
      <c r="AD700" t="s">
        <v>74</v>
      </c>
      <c r="AE700" t="s">
        <v>74</v>
      </c>
      <c r="AF700" t="s">
        <v>74</v>
      </c>
      <c r="AG700">
        <v>23</v>
      </c>
      <c r="AH700">
        <v>13</v>
      </c>
      <c r="AI700">
        <v>14</v>
      </c>
      <c r="AJ700">
        <v>0</v>
      </c>
      <c r="AK700">
        <v>21</v>
      </c>
      <c r="AL700" t="s">
        <v>4746</v>
      </c>
      <c r="AM700" t="s">
        <v>4747</v>
      </c>
      <c r="AN700" t="s">
        <v>4748</v>
      </c>
      <c r="AO700" t="s">
        <v>5031</v>
      </c>
      <c r="AP700" t="s">
        <v>5048</v>
      </c>
      <c r="AQ700" t="s">
        <v>74</v>
      </c>
      <c r="AR700" t="s">
        <v>5032</v>
      </c>
      <c r="AS700" t="s">
        <v>5033</v>
      </c>
      <c r="AT700" t="s">
        <v>7937</v>
      </c>
      <c r="AU700">
        <v>2008</v>
      </c>
      <c r="AV700">
        <v>154</v>
      </c>
      <c r="AW700">
        <v>2</v>
      </c>
      <c r="AX700" t="s">
        <v>74</v>
      </c>
      <c r="AY700" t="s">
        <v>74</v>
      </c>
      <c r="AZ700" t="s">
        <v>74</v>
      </c>
      <c r="BA700" t="s">
        <v>74</v>
      </c>
      <c r="BB700">
        <v>231</v>
      </c>
      <c r="BC700">
        <v>240</v>
      </c>
      <c r="BD700" t="s">
        <v>74</v>
      </c>
      <c r="BE700" t="s">
        <v>8844</v>
      </c>
      <c r="BF700" t="str">
        <f>HYPERLINK("http://dx.doi.org/10.1007/s00227-008-0919-x","http://dx.doi.org/10.1007/s00227-008-0919-x")</f>
        <v>http://dx.doi.org/10.1007/s00227-008-0919-x</v>
      </c>
      <c r="BG700" t="s">
        <v>74</v>
      </c>
      <c r="BH700" t="s">
        <v>74</v>
      </c>
      <c r="BI700">
        <v>10</v>
      </c>
      <c r="BJ700" t="s">
        <v>5035</v>
      </c>
      <c r="BK700" t="s">
        <v>419</v>
      </c>
      <c r="BL700" t="s">
        <v>5035</v>
      </c>
      <c r="BM700" t="s">
        <v>8831</v>
      </c>
      <c r="BN700" t="s">
        <v>74</v>
      </c>
      <c r="BO700" t="s">
        <v>74</v>
      </c>
      <c r="BP700" t="s">
        <v>74</v>
      </c>
      <c r="BQ700" t="s">
        <v>74</v>
      </c>
      <c r="BR700" t="s">
        <v>101</v>
      </c>
      <c r="BS700" t="s">
        <v>8845</v>
      </c>
      <c r="BT700" t="str">
        <f>HYPERLINK("https%3A%2F%2Fwww.webofscience.com%2Fwos%2Fwoscc%2Ffull-record%2FWOS:000254751400004","View Full Record in Web of Science")</f>
        <v>View Full Record in Web of Science</v>
      </c>
    </row>
    <row r="701" spans="1:72" x14ac:dyDescent="0.15">
      <c r="A701" t="s">
        <v>72</v>
      </c>
      <c r="B701" t="s">
        <v>8846</v>
      </c>
      <c r="C701" t="s">
        <v>74</v>
      </c>
      <c r="D701" t="s">
        <v>74</v>
      </c>
      <c r="E701" t="s">
        <v>74</v>
      </c>
      <c r="F701" t="s">
        <v>8847</v>
      </c>
      <c r="G701" t="s">
        <v>74</v>
      </c>
      <c r="H701" t="s">
        <v>74</v>
      </c>
      <c r="I701" t="s">
        <v>8848</v>
      </c>
      <c r="J701" t="s">
        <v>5024</v>
      </c>
      <c r="K701" t="s">
        <v>74</v>
      </c>
      <c r="L701" t="s">
        <v>74</v>
      </c>
      <c r="M701" t="s">
        <v>78</v>
      </c>
      <c r="N701" t="s">
        <v>2737</v>
      </c>
      <c r="O701" t="s">
        <v>74</v>
      </c>
      <c r="P701" t="s">
        <v>74</v>
      </c>
      <c r="Q701" t="s">
        <v>74</v>
      </c>
      <c r="R701" t="s">
        <v>74</v>
      </c>
      <c r="S701" t="s">
        <v>74</v>
      </c>
      <c r="T701" t="s">
        <v>74</v>
      </c>
      <c r="U701" t="s">
        <v>8849</v>
      </c>
      <c r="V701" t="s">
        <v>8850</v>
      </c>
      <c r="W701" t="s">
        <v>8851</v>
      </c>
      <c r="X701" t="s">
        <v>8852</v>
      </c>
      <c r="Y701" t="s">
        <v>8853</v>
      </c>
      <c r="Z701" t="s">
        <v>8854</v>
      </c>
      <c r="AA701" t="s">
        <v>8855</v>
      </c>
      <c r="AB701" t="s">
        <v>8856</v>
      </c>
      <c r="AC701" t="s">
        <v>74</v>
      </c>
      <c r="AD701" t="s">
        <v>74</v>
      </c>
      <c r="AE701" t="s">
        <v>74</v>
      </c>
      <c r="AF701" t="s">
        <v>74</v>
      </c>
      <c r="AG701">
        <v>28</v>
      </c>
      <c r="AH701">
        <v>23</v>
      </c>
      <c r="AI701">
        <v>27</v>
      </c>
      <c r="AJ701">
        <v>0</v>
      </c>
      <c r="AK701">
        <v>11</v>
      </c>
      <c r="AL701" t="s">
        <v>4746</v>
      </c>
      <c r="AM701" t="s">
        <v>4747</v>
      </c>
      <c r="AN701" t="s">
        <v>4748</v>
      </c>
      <c r="AO701" t="s">
        <v>5031</v>
      </c>
      <c r="AP701" t="s">
        <v>5048</v>
      </c>
      <c r="AQ701" t="s">
        <v>74</v>
      </c>
      <c r="AR701" t="s">
        <v>5032</v>
      </c>
      <c r="AS701" t="s">
        <v>5033</v>
      </c>
      <c r="AT701" t="s">
        <v>7937</v>
      </c>
      <c r="AU701">
        <v>2008</v>
      </c>
      <c r="AV701">
        <v>154</v>
      </c>
      <c r="AW701">
        <v>2</v>
      </c>
      <c r="AX701" t="s">
        <v>74</v>
      </c>
      <c r="AY701" t="s">
        <v>74</v>
      </c>
      <c r="AZ701" t="s">
        <v>74</v>
      </c>
      <c r="BA701" t="s">
        <v>74</v>
      </c>
      <c r="BB701">
        <v>315</v>
      </c>
      <c r="BC701">
        <v>324</v>
      </c>
      <c r="BD701" t="s">
        <v>74</v>
      </c>
      <c r="BE701" t="s">
        <v>8857</v>
      </c>
      <c r="BF701" t="str">
        <f>HYPERLINK("http://dx.doi.org/10.1007/s00227-008-0925-z","http://dx.doi.org/10.1007/s00227-008-0925-z")</f>
        <v>http://dx.doi.org/10.1007/s00227-008-0925-z</v>
      </c>
      <c r="BG701" t="s">
        <v>74</v>
      </c>
      <c r="BH701" t="s">
        <v>74</v>
      </c>
      <c r="BI701">
        <v>10</v>
      </c>
      <c r="BJ701" t="s">
        <v>5035</v>
      </c>
      <c r="BK701" t="s">
        <v>419</v>
      </c>
      <c r="BL701" t="s">
        <v>5035</v>
      </c>
      <c r="BM701" t="s">
        <v>8831</v>
      </c>
      <c r="BN701" t="s">
        <v>74</v>
      </c>
      <c r="BO701" t="s">
        <v>74</v>
      </c>
      <c r="BP701" t="s">
        <v>74</v>
      </c>
      <c r="BQ701" t="s">
        <v>74</v>
      </c>
      <c r="BR701" t="s">
        <v>101</v>
      </c>
      <c r="BS701" t="s">
        <v>8858</v>
      </c>
      <c r="BT701" t="str">
        <f>HYPERLINK("https%3A%2F%2Fwww.webofscience.com%2Fwos%2Fwoscc%2Ffull-record%2FWOS:000254751400012","View Full Record in Web of Science")</f>
        <v>View Full Record in Web of Science</v>
      </c>
    </row>
    <row r="702" spans="1:72" x14ac:dyDescent="0.15">
      <c r="A702" t="s">
        <v>72</v>
      </c>
      <c r="B702" t="s">
        <v>8859</v>
      </c>
      <c r="C702" t="s">
        <v>74</v>
      </c>
      <c r="D702" t="s">
        <v>74</v>
      </c>
      <c r="E702" t="s">
        <v>74</v>
      </c>
      <c r="F702" t="s">
        <v>8860</v>
      </c>
      <c r="G702" t="s">
        <v>74</v>
      </c>
      <c r="H702" t="s">
        <v>74</v>
      </c>
      <c r="I702" t="s">
        <v>8861</v>
      </c>
      <c r="J702" t="s">
        <v>5024</v>
      </c>
      <c r="K702" t="s">
        <v>74</v>
      </c>
      <c r="L702" t="s">
        <v>74</v>
      </c>
      <c r="M702" t="s">
        <v>78</v>
      </c>
      <c r="N702" t="s">
        <v>2737</v>
      </c>
      <c r="O702" t="s">
        <v>74</v>
      </c>
      <c r="P702" t="s">
        <v>74</v>
      </c>
      <c r="Q702" t="s">
        <v>74</v>
      </c>
      <c r="R702" t="s">
        <v>74</v>
      </c>
      <c r="S702" t="s">
        <v>74</v>
      </c>
      <c r="T702" t="s">
        <v>74</v>
      </c>
      <c r="U702" t="s">
        <v>8862</v>
      </c>
      <c r="V702" t="s">
        <v>8863</v>
      </c>
      <c r="W702" t="s">
        <v>8864</v>
      </c>
      <c r="X702" t="s">
        <v>8865</v>
      </c>
      <c r="Y702" t="s">
        <v>8866</v>
      </c>
      <c r="Z702" t="s">
        <v>8867</v>
      </c>
      <c r="AA702" t="s">
        <v>8868</v>
      </c>
      <c r="AB702" t="s">
        <v>8869</v>
      </c>
      <c r="AC702" t="s">
        <v>74</v>
      </c>
      <c r="AD702" t="s">
        <v>74</v>
      </c>
      <c r="AE702" t="s">
        <v>74</v>
      </c>
      <c r="AF702" t="s">
        <v>74</v>
      </c>
      <c r="AG702">
        <v>33</v>
      </c>
      <c r="AH702">
        <v>27</v>
      </c>
      <c r="AI702">
        <v>30</v>
      </c>
      <c r="AJ702">
        <v>1</v>
      </c>
      <c r="AK702">
        <v>11</v>
      </c>
      <c r="AL702" t="s">
        <v>4746</v>
      </c>
      <c r="AM702" t="s">
        <v>4747</v>
      </c>
      <c r="AN702" t="s">
        <v>4748</v>
      </c>
      <c r="AO702" t="s">
        <v>5031</v>
      </c>
      <c r="AP702" t="s">
        <v>5048</v>
      </c>
      <c r="AQ702" t="s">
        <v>74</v>
      </c>
      <c r="AR702" t="s">
        <v>5032</v>
      </c>
      <c r="AS702" t="s">
        <v>5033</v>
      </c>
      <c r="AT702" t="s">
        <v>7937</v>
      </c>
      <c r="AU702">
        <v>2008</v>
      </c>
      <c r="AV702">
        <v>154</v>
      </c>
      <c r="AW702">
        <v>2</v>
      </c>
      <c r="AX702" t="s">
        <v>74</v>
      </c>
      <c r="AY702" t="s">
        <v>74</v>
      </c>
      <c r="AZ702" t="s">
        <v>74</v>
      </c>
      <c r="BA702" t="s">
        <v>74</v>
      </c>
      <c r="BB702">
        <v>363</v>
      </c>
      <c r="BC702">
        <v>372</v>
      </c>
      <c r="BD702" t="s">
        <v>74</v>
      </c>
      <c r="BE702" t="s">
        <v>8870</v>
      </c>
      <c r="BF702" t="str">
        <f>HYPERLINK("http://dx.doi.org/10.1007/s00227-008-0932-0","http://dx.doi.org/10.1007/s00227-008-0932-0")</f>
        <v>http://dx.doi.org/10.1007/s00227-008-0932-0</v>
      </c>
      <c r="BG702" t="s">
        <v>74</v>
      </c>
      <c r="BH702" t="s">
        <v>74</v>
      </c>
      <c r="BI702">
        <v>10</v>
      </c>
      <c r="BJ702" t="s">
        <v>5035</v>
      </c>
      <c r="BK702" t="s">
        <v>419</v>
      </c>
      <c r="BL702" t="s">
        <v>5035</v>
      </c>
      <c r="BM702" t="s">
        <v>8831</v>
      </c>
      <c r="BN702" t="s">
        <v>74</v>
      </c>
      <c r="BO702" t="s">
        <v>74</v>
      </c>
      <c r="BP702" t="s">
        <v>74</v>
      </c>
      <c r="BQ702" t="s">
        <v>74</v>
      </c>
      <c r="BR702" t="s">
        <v>101</v>
      </c>
      <c r="BS702" t="s">
        <v>8871</v>
      </c>
      <c r="BT702" t="str">
        <f>HYPERLINK("https%3A%2F%2Fwww.webofscience.com%2Fwos%2Fwoscc%2Ffull-record%2FWOS:000254751400017","View Full Record in Web of Science")</f>
        <v>View Full Record in Web of Science</v>
      </c>
    </row>
    <row r="703" spans="1:72" x14ac:dyDescent="0.15">
      <c r="A703" t="s">
        <v>72</v>
      </c>
      <c r="B703" t="s">
        <v>8872</v>
      </c>
      <c r="C703" t="s">
        <v>74</v>
      </c>
      <c r="D703" t="s">
        <v>74</v>
      </c>
      <c r="E703" t="s">
        <v>74</v>
      </c>
      <c r="F703" t="s">
        <v>8873</v>
      </c>
      <c r="G703" t="s">
        <v>74</v>
      </c>
      <c r="H703" t="s">
        <v>74</v>
      </c>
      <c r="I703" t="s">
        <v>8874</v>
      </c>
      <c r="J703" t="s">
        <v>8875</v>
      </c>
      <c r="K703" t="s">
        <v>74</v>
      </c>
      <c r="L703" t="s">
        <v>74</v>
      </c>
      <c r="M703" t="s">
        <v>78</v>
      </c>
      <c r="N703" t="s">
        <v>2737</v>
      </c>
      <c r="O703" t="s">
        <v>74</v>
      </c>
      <c r="P703" t="s">
        <v>74</v>
      </c>
      <c r="Q703" t="s">
        <v>74</v>
      </c>
      <c r="R703" t="s">
        <v>74</v>
      </c>
      <c r="S703" t="s">
        <v>74</v>
      </c>
      <c r="T703" t="s">
        <v>8876</v>
      </c>
      <c r="U703" t="s">
        <v>8877</v>
      </c>
      <c r="V703" t="s">
        <v>8878</v>
      </c>
      <c r="W703" t="s">
        <v>8879</v>
      </c>
      <c r="X703" t="s">
        <v>8880</v>
      </c>
      <c r="Y703" t="s">
        <v>8881</v>
      </c>
      <c r="Z703" t="s">
        <v>8882</v>
      </c>
      <c r="AA703" t="s">
        <v>8883</v>
      </c>
      <c r="AB703" t="s">
        <v>8884</v>
      </c>
      <c r="AC703" t="s">
        <v>74</v>
      </c>
      <c r="AD703" t="s">
        <v>74</v>
      </c>
      <c r="AE703" t="s">
        <v>74</v>
      </c>
      <c r="AF703" t="s">
        <v>74</v>
      </c>
      <c r="AG703">
        <v>20</v>
      </c>
      <c r="AH703">
        <v>238</v>
      </c>
      <c r="AI703">
        <v>258</v>
      </c>
      <c r="AJ703">
        <v>1</v>
      </c>
      <c r="AK703">
        <v>31</v>
      </c>
      <c r="AL703" t="s">
        <v>6676</v>
      </c>
      <c r="AM703" t="s">
        <v>3008</v>
      </c>
      <c r="AN703" t="s">
        <v>6677</v>
      </c>
      <c r="AO703" t="s">
        <v>8885</v>
      </c>
      <c r="AP703" t="s">
        <v>74</v>
      </c>
      <c r="AQ703" t="s">
        <v>74</v>
      </c>
      <c r="AR703" t="s">
        <v>8886</v>
      </c>
      <c r="AS703" t="s">
        <v>8887</v>
      </c>
      <c r="AT703" t="s">
        <v>7937</v>
      </c>
      <c r="AU703">
        <v>2008</v>
      </c>
      <c r="AV703">
        <v>24</v>
      </c>
      <c r="AW703">
        <v>2</v>
      </c>
      <c r="AX703" t="s">
        <v>74</v>
      </c>
      <c r="AY703" t="s">
        <v>74</v>
      </c>
      <c r="AZ703" t="s">
        <v>74</v>
      </c>
      <c r="BA703" t="s">
        <v>74</v>
      </c>
      <c r="BB703">
        <v>315</v>
      </c>
      <c r="BC703">
        <v>325</v>
      </c>
      <c r="BD703" t="s">
        <v>74</v>
      </c>
      <c r="BE703" t="s">
        <v>8888</v>
      </c>
      <c r="BF703" t="str">
        <f>HYPERLINK("http://dx.doi.org/10.1111/j.1748-7692.2007.00180.x","http://dx.doi.org/10.1111/j.1748-7692.2007.00180.x")</f>
        <v>http://dx.doi.org/10.1111/j.1748-7692.2007.00180.x</v>
      </c>
      <c r="BG703" t="s">
        <v>74</v>
      </c>
      <c r="BH703" t="s">
        <v>74</v>
      </c>
      <c r="BI703">
        <v>11</v>
      </c>
      <c r="BJ703" t="s">
        <v>3488</v>
      </c>
      <c r="BK703" t="s">
        <v>419</v>
      </c>
      <c r="BL703" t="s">
        <v>3488</v>
      </c>
      <c r="BM703" t="s">
        <v>8889</v>
      </c>
      <c r="BN703" t="s">
        <v>74</v>
      </c>
      <c r="BO703" t="s">
        <v>74</v>
      </c>
      <c r="BP703" t="s">
        <v>74</v>
      </c>
      <c r="BQ703" t="s">
        <v>74</v>
      </c>
      <c r="BR703" t="s">
        <v>101</v>
      </c>
      <c r="BS703" t="s">
        <v>8890</v>
      </c>
      <c r="BT703" t="str">
        <f>HYPERLINK("https%3A%2F%2Fwww.webofscience.com%2Fwos%2Fwoscc%2Ffull-record%2FWOS:000255166700005","View Full Record in Web of Science")</f>
        <v>View Full Record in Web of Science</v>
      </c>
    </row>
    <row r="704" spans="1:72" x14ac:dyDescent="0.15">
      <c r="A704" t="s">
        <v>72</v>
      </c>
      <c r="B704" t="s">
        <v>8891</v>
      </c>
      <c r="C704" t="s">
        <v>74</v>
      </c>
      <c r="D704" t="s">
        <v>74</v>
      </c>
      <c r="E704" t="s">
        <v>74</v>
      </c>
      <c r="F704" t="s">
        <v>8892</v>
      </c>
      <c r="G704" t="s">
        <v>74</v>
      </c>
      <c r="H704" t="s">
        <v>74</v>
      </c>
      <c r="I704" t="s">
        <v>8893</v>
      </c>
      <c r="J704" t="s">
        <v>6741</v>
      </c>
      <c r="K704" t="s">
        <v>74</v>
      </c>
      <c r="L704" t="s">
        <v>74</v>
      </c>
      <c r="M704" t="s">
        <v>78</v>
      </c>
      <c r="N704" t="s">
        <v>2737</v>
      </c>
      <c r="O704" t="s">
        <v>74</v>
      </c>
      <c r="P704" t="s">
        <v>74</v>
      </c>
      <c r="Q704" t="s">
        <v>74</v>
      </c>
      <c r="R704" t="s">
        <v>74</v>
      </c>
      <c r="S704" t="s">
        <v>74</v>
      </c>
      <c r="T704" t="s">
        <v>8894</v>
      </c>
      <c r="U704" t="s">
        <v>8895</v>
      </c>
      <c r="V704" t="s">
        <v>8896</v>
      </c>
      <c r="W704" t="s">
        <v>8897</v>
      </c>
      <c r="X704" t="s">
        <v>8898</v>
      </c>
      <c r="Y704" t="s">
        <v>8899</v>
      </c>
      <c r="Z704" t="s">
        <v>8900</v>
      </c>
      <c r="AA704" t="s">
        <v>74</v>
      </c>
      <c r="AB704" t="s">
        <v>8901</v>
      </c>
      <c r="AC704" t="s">
        <v>74</v>
      </c>
      <c r="AD704" t="s">
        <v>74</v>
      </c>
      <c r="AE704" t="s">
        <v>74</v>
      </c>
      <c r="AF704" t="s">
        <v>74</v>
      </c>
      <c r="AG704">
        <v>59</v>
      </c>
      <c r="AH704">
        <v>57</v>
      </c>
      <c r="AI704">
        <v>63</v>
      </c>
      <c r="AJ704">
        <v>0</v>
      </c>
      <c r="AK704">
        <v>10</v>
      </c>
      <c r="AL704" t="s">
        <v>3933</v>
      </c>
      <c r="AM704" t="s">
        <v>3258</v>
      </c>
      <c r="AN704" t="s">
        <v>3934</v>
      </c>
      <c r="AO704" t="s">
        <v>6751</v>
      </c>
      <c r="AP704" t="s">
        <v>6752</v>
      </c>
      <c r="AQ704" t="s">
        <v>74</v>
      </c>
      <c r="AR704" t="s">
        <v>6753</v>
      </c>
      <c r="AS704" t="s">
        <v>6754</v>
      </c>
      <c r="AT704" t="s">
        <v>7937</v>
      </c>
      <c r="AU704">
        <v>2008</v>
      </c>
      <c r="AV704">
        <v>67</v>
      </c>
      <c r="AW704" t="s">
        <v>5676</v>
      </c>
      <c r="AX704" t="s">
        <v>74</v>
      </c>
      <c r="AY704" t="s">
        <v>74</v>
      </c>
      <c r="AZ704" t="s">
        <v>74</v>
      </c>
      <c r="BA704" t="s">
        <v>74</v>
      </c>
      <c r="BB704">
        <v>30</v>
      </c>
      <c r="BC704">
        <v>45</v>
      </c>
      <c r="BD704" t="s">
        <v>74</v>
      </c>
      <c r="BE704" t="s">
        <v>8902</v>
      </c>
      <c r="BF704" t="str">
        <f>HYPERLINK("http://dx.doi.org/10.1016/j.marmicro.2007.08.005","http://dx.doi.org/10.1016/j.marmicro.2007.08.005")</f>
        <v>http://dx.doi.org/10.1016/j.marmicro.2007.08.005</v>
      </c>
      <c r="BG704" t="s">
        <v>74</v>
      </c>
      <c r="BH704" t="s">
        <v>74</v>
      </c>
      <c r="BI704">
        <v>16</v>
      </c>
      <c r="BJ704" t="s">
        <v>3226</v>
      </c>
      <c r="BK704" t="s">
        <v>419</v>
      </c>
      <c r="BL704" t="s">
        <v>3226</v>
      </c>
      <c r="BM704" t="s">
        <v>8903</v>
      </c>
      <c r="BN704" t="s">
        <v>74</v>
      </c>
      <c r="BO704" t="s">
        <v>74</v>
      </c>
      <c r="BP704" t="s">
        <v>74</v>
      </c>
      <c r="BQ704" t="s">
        <v>74</v>
      </c>
      <c r="BR704" t="s">
        <v>101</v>
      </c>
      <c r="BS704" t="s">
        <v>8904</v>
      </c>
      <c r="BT704" t="str">
        <f>HYPERLINK("https%3A%2F%2Fwww.webofscience.com%2Fwos%2Fwoscc%2Ffull-record%2FWOS:000255237100002","View Full Record in Web of Science")</f>
        <v>View Full Record in Web of Science</v>
      </c>
    </row>
    <row r="705" spans="1:72" x14ac:dyDescent="0.15">
      <c r="A705" t="s">
        <v>72</v>
      </c>
      <c r="B705" t="s">
        <v>1151</v>
      </c>
      <c r="C705" t="s">
        <v>74</v>
      </c>
      <c r="D705" t="s">
        <v>74</v>
      </c>
      <c r="E705" t="s">
        <v>74</v>
      </c>
      <c r="F705" t="s">
        <v>8905</v>
      </c>
      <c r="G705" t="s">
        <v>74</v>
      </c>
      <c r="H705" t="s">
        <v>74</v>
      </c>
      <c r="I705" t="s">
        <v>8906</v>
      </c>
      <c r="J705" t="s">
        <v>77</v>
      </c>
      <c r="K705" t="s">
        <v>74</v>
      </c>
      <c r="L705" t="s">
        <v>74</v>
      </c>
      <c r="M705" t="s">
        <v>78</v>
      </c>
      <c r="N705" t="s">
        <v>2737</v>
      </c>
      <c r="O705" t="s">
        <v>74</v>
      </c>
      <c r="P705" t="s">
        <v>74</v>
      </c>
      <c r="Q705" t="s">
        <v>74</v>
      </c>
      <c r="R705" t="s">
        <v>74</v>
      </c>
      <c r="S705" t="s">
        <v>74</v>
      </c>
      <c r="T705" t="s">
        <v>74</v>
      </c>
      <c r="U705" t="s">
        <v>8907</v>
      </c>
      <c r="V705" t="s">
        <v>8908</v>
      </c>
      <c r="W705" t="s">
        <v>8909</v>
      </c>
      <c r="X705" t="s">
        <v>1155</v>
      </c>
      <c r="Y705" t="s">
        <v>8910</v>
      </c>
      <c r="Z705" t="s">
        <v>1156</v>
      </c>
      <c r="AA705" t="s">
        <v>1157</v>
      </c>
      <c r="AB705" t="s">
        <v>8911</v>
      </c>
      <c r="AC705" t="s">
        <v>8912</v>
      </c>
      <c r="AD705" t="s">
        <v>8913</v>
      </c>
      <c r="AE705" t="s">
        <v>8914</v>
      </c>
      <c r="AF705" t="s">
        <v>74</v>
      </c>
      <c r="AG705">
        <v>59</v>
      </c>
      <c r="AH705">
        <v>9</v>
      </c>
      <c r="AI705">
        <v>10</v>
      </c>
      <c r="AJ705">
        <v>0</v>
      </c>
      <c r="AK705">
        <v>8</v>
      </c>
      <c r="AL705" t="s">
        <v>88</v>
      </c>
      <c r="AM705" t="s">
        <v>89</v>
      </c>
      <c r="AN705" t="s">
        <v>90</v>
      </c>
      <c r="AO705" t="s">
        <v>91</v>
      </c>
      <c r="AP705" t="s">
        <v>92</v>
      </c>
      <c r="AQ705" t="s">
        <v>74</v>
      </c>
      <c r="AR705" t="s">
        <v>93</v>
      </c>
      <c r="AS705" t="s">
        <v>94</v>
      </c>
      <c r="AT705" t="s">
        <v>7937</v>
      </c>
      <c r="AU705">
        <v>2008</v>
      </c>
      <c r="AV705">
        <v>43</v>
      </c>
      <c r="AW705">
        <v>4</v>
      </c>
      <c r="AX705" t="s">
        <v>74</v>
      </c>
      <c r="AY705" t="s">
        <v>74</v>
      </c>
      <c r="AZ705" t="s">
        <v>74</v>
      </c>
      <c r="BA705" t="s">
        <v>74</v>
      </c>
      <c r="BB705">
        <v>675</v>
      </c>
      <c r="BC705">
        <v>684</v>
      </c>
      <c r="BD705" t="s">
        <v>74</v>
      </c>
      <c r="BE705" t="s">
        <v>8915</v>
      </c>
      <c r="BF705" t="str">
        <f>HYPERLINK("http://dx.doi.org/10.1111/j.1945-5100.2008.tb00677.x","http://dx.doi.org/10.1111/j.1945-5100.2008.tb00677.x")</f>
        <v>http://dx.doi.org/10.1111/j.1945-5100.2008.tb00677.x</v>
      </c>
      <c r="BG705" t="s">
        <v>74</v>
      </c>
      <c r="BH705" t="s">
        <v>74</v>
      </c>
      <c r="BI705">
        <v>10</v>
      </c>
      <c r="BJ705" t="s">
        <v>98</v>
      </c>
      <c r="BK705" t="s">
        <v>419</v>
      </c>
      <c r="BL705" t="s">
        <v>98</v>
      </c>
      <c r="BM705" t="s">
        <v>8916</v>
      </c>
      <c r="BN705" t="s">
        <v>74</v>
      </c>
      <c r="BO705" t="s">
        <v>3290</v>
      </c>
      <c r="BP705" t="s">
        <v>74</v>
      </c>
      <c r="BQ705" t="s">
        <v>74</v>
      </c>
      <c r="BR705" t="s">
        <v>101</v>
      </c>
      <c r="BS705" t="s">
        <v>8917</v>
      </c>
      <c r="BT705" t="str">
        <f>HYPERLINK("https%3A%2F%2Fwww.webofscience.com%2Fwos%2Fwoscc%2Ffull-record%2FWOS:000259044500003","View Full Record in Web of Science")</f>
        <v>View Full Record in Web of Science</v>
      </c>
    </row>
    <row r="706" spans="1:72" x14ac:dyDescent="0.15">
      <c r="A706" t="s">
        <v>72</v>
      </c>
      <c r="B706" t="s">
        <v>8918</v>
      </c>
      <c r="C706" t="s">
        <v>74</v>
      </c>
      <c r="D706" t="s">
        <v>74</v>
      </c>
      <c r="E706" t="s">
        <v>74</v>
      </c>
      <c r="F706" t="s">
        <v>8919</v>
      </c>
      <c r="G706" t="s">
        <v>74</v>
      </c>
      <c r="H706" t="s">
        <v>74</v>
      </c>
      <c r="I706" t="s">
        <v>8920</v>
      </c>
      <c r="J706" t="s">
        <v>2736</v>
      </c>
      <c r="K706" t="s">
        <v>74</v>
      </c>
      <c r="L706" t="s">
        <v>74</v>
      </c>
      <c r="M706" t="s">
        <v>78</v>
      </c>
      <c r="N706" t="s">
        <v>2737</v>
      </c>
      <c r="O706" t="s">
        <v>74</v>
      </c>
      <c r="P706" t="s">
        <v>74</v>
      </c>
      <c r="Q706" t="s">
        <v>74</v>
      </c>
      <c r="R706" t="s">
        <v>74</v>
      </c>
      <c r="S706" t="s">
        <v>74</v>
      </c>
      <c r="T706" t="s">
        <v>74</v>
      </c>
      <c r="U706" t="s">
        <v>8921</v>
      </c>
      <c r="V706" t="s">
        <v>8922</v>
      </c>
      <c r="W706" t="s">
        <v>8923</v>
      </c>
      <c r="X706" t="s">
        <v>8924</v>
      </c>
      <c r="Y706" t="s">
        <v>8925</v>
      </c>
      <c r="Z706" t="s">
        <v>8926</v>
      </c>
      <c r="AA706" t="s">
        <v>74</v>
      </c>
      <c r="AB706" t="s">
        <v>8927</v>
      </c>
      <c r="AC706" t="s">
        <v>74</v>
      </c>
      <c r="AD706" t="s">
        <v>74</v>
      </c>
      <c r="AE706" t="s">
        <v>74</v>
      </c>
      <c r="AF706" t="s">
        <v>74</v>
      </c>
      <c r="AG706">
        <v>60</v>
      </c>
      <c r="AH706">
        <v>91</v>
      </c>
      <c r="AI706">
        <v>99</v>
      </c>
      <c r="AJ706">
        <v>0</v>
      </c>
      <c r="AK706">
        <v>63</v>
      </c>
      <c r="AL706" t="s">
        <v>2746</v>
      </c>
      <c r="AM706" t="s">
        <v>2747</v>
      </c>
      <c r="AN706" t="s">
        <v>2748</v>
      </c>
      <c r="AO706" t="s">
        <v>2749</v>
      </c>
      <c r="AP706" t="s">
        <v>8928</v>
      </c>
      <c r="AQ706" t="s">
        <v>74</v>
      </c>
      <c r="AR706" t="s">
        <v>2750</v>
      </c>
      <c r="AS706" t="s">
        <v>2751</v>
      </c>
      <c r="AT706" t="s">
        <v>7937</v>
      </c>
      <c r="AU706">
        <v>2008</v>
      </c>
      <c r="AV706">
        <v>55</v>
      </c>
      <c r="AW706">
        <v>3</v>
      </c>
      <c r="AX706" t="s">
        <v>74</v>
      </c>
      <c r="AY706" t="s">
        <v>74</v>
      </c>
      <c r="AZ706" t="s">
        <v>74</v>
      </c>
      <c r="BA706" t="s">
        <v>74</v>
      </c>
      <c r="BB706">
        <v>540</v>
      </c>
      <c r="BC706">
        <v>552</v>
      </c>
      <c r="BD706" t="s">
        <v>74</v>
      </c>
      <c r="BE706" t="s">
        <v>8929</v>
      </c>
      <c r="BF706" t="str">
        <f>HYPERLINK("http://dx.doi.org/10.1007/s00248-007-9299-x","http://dx.doi.org/10.1007/s00248-007-9299-x")</f>
        <v>http://dx.doi.org/10.1007/s00248-007-9299-x</v>
      </c>
      <c r="BG706" t="s">
        <v>74</v>
      </c>
      <c r="BH706" t="s">
        <v>74</v>
      </c>
      <c r="BI706">
        <v>13</v>
      </c>
      <c r="BJ706" t="s">
        <v>2753</v>
      </c>
      <c r="BK706" t="s">
        <v>419</v>
      </c>
      <c r="BL706" t="s">
        <v>2754</v>
      </c>
      <c r="BM706" t="s">
        <v>8930</v>
      </c>
      <c r="BN706">
        <v>17805918</v>
      </c>
      <c r="BO706" t="s">
        <v>74</v>
      </c>
      <c r="BP706" t="s">
        <v>74</v>
      </c>
      <c r="BQ706" t="s">
        <v>74</v>
      </c>
      <c r="BR706" t="s">
        <v>101</v>
      </c>
      <c r="BS706" t="s">
        <v>8931</v>
      </c>
      <c r="BT706" t="str">
        <f>HYPERLINK("https%3A%2F%2Fwww.webofscience.com%2Fwos%2Fwoscc%2Ffull-record%2FWOS:000253995000017","View Full Record in Web of Science")</f>
        <v>View Full Record in Web of Science</v>
      </c>
    </row>
    <row r="707" spans="1:72" x14ac:dyDescent="0.15">
      <c r="A707" t="s">
        <v>72</v>
      </c>
      <c r="B707" t="s">
        <v>8932</v>
      </c>
      <c r="C707" t="s">
        <v>74</v>
      </c>
      <c r="D707" t="s">
        <v>74</v>
      </c>
      <c r="E707" t="s">
        <v>74</v>
      </c>
      <c r="F707" t="s">
        <v>8933</v>
      </c>
      <c r="G707" t="s">
        <v>74</v>
      </c>
      <c r="H707" t="s">
        <v>74</v>
      </c>
      <c r="I707" t="s">
        <v>8934</v>
      </c>
      <c r="J707" t="s">
        <v>8935</v>
      </c>
      <c r="K707" t="s">
        <v>74</v>
      </c>
      <c r="L707" t="s">
        <v>74</v>
      </c>
      <c r="M707" t="s">
        <v>78</v>
      </c>
      <c r="N707" t="s">
        <v>2737</v>
      </c>
      <c r="O707" t="s">
        <v>74</v>
      </c>
      <c r="P707" t="s">
        <v>74</v>
      </c>
      <c r="Q707" t="s">
        <v>74</v>
      </c>
      <c r="R707" t="s">
        <v>74</v>
      </c>
      <c r="S707" t="s">
        <v>74</v>
      </c>
      <c r="T707" t="s">
        <v>8936</v>
      </c>
      <c r="U707" t="s">
        <v>8937</v>
      </c>
      <c r="V707" t="s">
        <v>8938</v>
      </c>
      <c r="W707" t="s">
        <v>8939</v>
      </c>
      <c r="X707" t="s">
        <v>8940</v>
      </c>
      <c r="Y707" t="s">
        <v>8941</v>
      </c>
      <c r="Z707" t="s">
        <v>8942</v>
      </c>
      <c r="AA707" t="s">
        <v>8943</v>
      </c>
      <c r="AB707" t="s">
        <v>8944</v>
      </c>
      <c r="AC707" t="s">
        <v>74</v>
      </c>
      <c r="AD707" t="s">
        <v>74</v>
      </c>
      <c r="AE707" t="s">
        <v>74</v>
      </c>
      <c r="AF707" t="s">
        <v>74</v>
      </c>
      <c r="AG707">
        <v>36</v>
      </c>
      <c r="AH707">
        <v>36</v>
      </c>
      <c r="AI707">
        <v>47</v>
      </c>
      <c r="AJ707">
        <v>1</v>
      </c>
      <c r="AK707">
        <v>17</v>
      </c>
      <c r="AL707" t="s">
        <v>8945</v>
      </c>
      <c r="AM707" t="s">
        <v>89</v>
      </c>
      <c r="AN707" t="s">
        <v>8946</v>
      </c>
      <c r="AO707" t="s">
        <v>8947</v>
      </c>
      <c r="AP707" t="s">
        <v>74</v>
      </c>
      <c r="AQ707" t="s">
        <v>74</v>
      </c>
      <c r="AR707" t="s">
        <v>8948</v>
      </c>
      <c r="AS707" t="s">
        <v>8949</v>
      </c>
      <c r="AT707" t="s">
        <v>7937</v>
      </c>
      <c r="AU707">
        <v>2008</v>
      </c>
      <c r="AV707">
        <v>75</v>
      </c>
      <c r="AW707">
        <v>4</v>
      </c>
      <c r="AX707" t="s">
        <v>74</v>
      </c>
      <c r="AY707" t="s">
        <v>74</v>
      </c>
      <c r="AZ707" t="s">
        <v>74</v>
      </c>
      <c r="BA707" t="s">
        <v>74</v>
      </c>
      <c r="BB707">
        <v>608</v>
      </c>
      <c r="BC707">
        <v>613</v>
      </c>
      <c r="BD707" t="s">
        <v>74</v>
      </c>
      <c r="BE707" t="s">
        <v>8950</v>
      </c>
      <c r="BF707" t="str">
        <f>HYPERLINK("http://dx.doi.org/10.1002/mrd.20799","http://dx.doi.org/10.1002/mrd.20799")</f>
        <v>http://dx.doi.org/10.1002/mrd.20799</v>
      </c>
      <c r="BG707" t="s">
        <v>74</v>
      </c>
      <c r="BH707" t="s">
        <v>74</v>
      </c>
      <c r="BI707">
        <v>6</v>
      </c>
      <c r="BJ707" t="s">
        <v>8951</v>
      </c>
      <c r="BK707" t="s">
        <v>419</v>
      </c>
      <c r="BL707" t="s">
        <v>8951</v>
      </c>
      <c r="BM707" t="s">
        <v>8952</v>
      </c>
      <c r="BN707">
        <v>17874447</v>
      </c>
      <c r="BO707" t="s">
        <v>74</v>
      </c>
      <c r="BP707" t="s">
        <v>74</v>
      </c>
      <c r="BQ707" t="s">
        <v>74</v>
      </c>
      <c r="BR707" t="s">
        <v>101</v>
      </c>
      <c r="BS707" t="s">
        <v>8953</v>
      </c>
      <c r="BT707" t="str">
        <f>HYPERLINK("https%3A%2F%2Fwww.webofscience.com%2Fwos%2Fwoscc%2Ffull-record%2FWOS:000253665400005","View Full Record in Web of Science")</f>
        <v>View Full Record in Web of Science</v>
      </c>
    </row>
    <row r="708" spans="1:72" x14ac:dyDescent="0.15">
      <c r="A708" t="s">
        <v>72</v>
      </c>
      <c r="B708" t="s">
        <v>8954</v>
      </c>
      <c r="C708" t="s">
        <v>74</v>
      </c>
      <c r="D708" t="s">
        <v>74</v>
      </c>
      <c r="E708" t="s">
        <v>74</v>
      </c>
      <c r="F708" t="s">
        <v>8955</v>
      </c>
      <c r="G708" t="s">
        <v>74</v>
      </c>
      <c r="H708" t="s">
        <v>74</v>
      </c>
      <c r="I708" t="s">
        <v>8956</v>
      </c>
      <c r="J708" t="s">
        <v>8957</v>
      </c>
      <c r="K708" t="s">
        <v>74</v>
      </c>
      <c r="L708" t="s">
        <v>74</v>
      </c>
      <c r="M708" t="s">
        <v>78</v>
      </c>
      <c r="N708" t="s">
        <v>2737</v>
      </c>
      <c r="O708" t="s">
        <v>74</v>
      </c>
      <c r="P708" t="s">
        <v>74</v>
      </c>
      <c r="Q708" t="s">
        <v>74</v>
      </c>
      <c r="R708" t="s">
        <v>74</v>
      </c>
      <c r="S708" t="s">
        <v>74</v>
      </c>
      <c r="T708" t="s">
        <v>74</v>
      </c>
      <c r="U708" t="s">
        <v>8958</v>
      </c>
      <c r="V708" t="s">
        <v>8959</v>
      </c>
      <c r="W708" t="s">
        <v>8960</v>
      </c>
      <c r="X708" t="s">
        <v>8961</v>
      </c>
      <c r="Y708" t="s">
        <v>8962</v>
      </c>
      <c r="Z708" t="s">
        <v>8963</v>
      </c>
      <c r="AA708" t="s">
        <v>8964</v>
      </c>
      <c r="AB708" t="s">
        <v>8965</v>
      </c>
      <c r="AC708" t="s">
        <v>74</v>
      </c>
      <c r="AD708" t="s">
        <v>74</v>
      </c>
      <c r="AE708" t="s">
        <v>74</v>
      </c>
      <c r="AF708" t="s">
        <v>74</v>
      </c>
      <c r="AG708">
        <v>71</v>
      </c>
      <c r="AH708">
        <v>33</v>
      </c>
      <c r="AI708">
        <v>34</v>
      </c>
      <c r="AJ708">
        <v>0</v>
      </c>
      <c r="AK708">
        <v>5</v>
      </c>
      <c r="AL708" t="s">
        <v>3716</v>
      </c>
      <c r="AM708" t="s">
        <v>3717</v>
      </c>
      <c r="AN708" t="s">
        <v>3738</v>
      </c>
      <c r="AO708" t="s">
        <v>8966</v>
      </c>
      <c r="AP708" t="s">
        <v>74</v>
      </c>
      <c r="AQ708" t="s">
        <v>74</v>
      </c>
      <c r="AR708" t="s">
        <v>8967</v>
      </c>
      <c r="AS708" t="s">
        <v>8968</v>
      </c>
      <c r="AT708" t="s">
        <v>7937</v>
      </c>
      <c r="AU708">
        <v>2008</v>
      </c>
      <c r="AV708">
        <v>136</v>
      </c>
      <c r="AW708">
        <v>4</v>
      </c>
      <c r="AX708" t="s">
        <v>74</v>
      </c>
      <c r="AY708" t="s">
        <v>74</v>
      </c>
      <c r="AZ708" t="s">
        <v>74</v>
      </c>
      <c r="BA708" t="s">
        <v>74</v>
      </c>
      <c r="BB708">
        <v>1457</v>
      </c>
      <c r="BC708">
        <v>1474</v>
      </c>
      <c r="BD708" t="s">
        <v>74</v>
      </c>
      <c r="BE708" t="s">
        <v>8969</v>
      </c>
      <c r="BF708" t="str">
        <f>HYPERLINK("http://dx.doi.org/10.1175/2007MWR2242.1","http://dx.doi.org/10.1175/2007MWR2242.1")</f>
        <v>http://dx.doi.org/10.1175/2007MWR2242.1</v>
      </c>
      <c r="BG708" t="s">
        <v>74</v>
      </c>
      <c r="BH708" t="s">
        <v>74</v>
      </c>
      <c r="BI708">
        <v>18</v>
      </c>
      <c r="BJ708" t="s">
        <v>3071</v>
      </c>
      <c r="BK708" t="s">
        <v>419</v>
      </c>
      <c r="BL708" t="s">
        <v>3071</v>
      </c>
      <c r="BM708" t="s">
        <v>8970</v>
      </c>
      <c r="BN708" t="s">
        <v>74</v>
      </c>
      <c r="BO708" t="s">
        <v>4667</v>
      </c>
      <c r="BP708" t="s">
        <v>74</v>
      </c>
      <c r="BQ708" t="s">
        <v>74</v>
      </c>
      <c r="BR708" t="s">
        <v>101</v>
      </c>
      <c r="BS708" t="s">
        <v>8971</v>
      </c>
      <c r="BT708" t="str">
        <f>HYPERLINK("https%3A%2F%2Fwww.webofscience.com%2Fwos%2Fwoscc%2Ffull-record%2FWOS:000255352200011","View Full Record in Web of Science")</f>
        <v>View Full Record in Web of Science</v>
      </c>
    </row>
    <row r="709" spans="1:72" x14ac:dyDescent="0.15">
      <c r="A709" t="s">
        <v>72</v>
      </c>
      <c r="B709" t="s">
        <v>8972</v>
      </c>
      <c r="C709" t="s">
        <v>74</v>
      </c>
      <c r="D709" t="s">
        <v>74</v>
      </c>
      <c r="E709" t="s">
        <v>74</v>
      </c>
      <c r="F709" t="s">
        <v>8973</v>
      </c>
      <c r="G709" t="s">
        <v>74</v>
      </c>
      <c r="H709" t="s">
        <v>74</v>
      </c>
      <c r="I709" t="s">
        <v>8974</v>
      </c>
      <c r="J709" t="s">
        <v>8975</v>
      </c>
      <c r="K709" t="s">
        <v>74</v>
      </c>
      <c r="L709" t="s">
        <v>74</v>
      </c>
      <c r="M709" t="s">
        <v>78</v>
      </c>
      <c r="N709" t="s">
        <v>2737</v>
      </c>
      <c r="O709" t="s">
        <v>74</v>
      </c>
      <c r="P709" t="s">
        <v>74</v>
      </c>
      <c r="Q709" t="s">
        <v>74</v>
      </c>
      <c r="R709" t="s">
        <v>74</v>
      </c>
      <c r="S709" t="s">
        <v>74</v>
      </c>
      <c r="T709" t="s">
        <v>8976</v>
      </c>
      <c r="U709" t="s">
        <v>8977</v>
      </c>
      <c r="V709" t="s">
        <v>8978</v>
      </c>
      <c r="W709" t="s">
        <v>8979</v>
      </c>
      <c r="X709" t="s">
        <v>8980</v>
      </c>
      <c r="Y709" t="s">
        <v>8981</v>
      </c>
      <c r="Z709" t="s">
        <v>8982</v>
      </c>
      <c r="AA709" t="s">
        <v>8983</v>
      </c>
      <c r="AB709" t="s">
        <v>8984</v>
      </c>
      <c r="AC709" t="s">
        <v>74</v>
      </c>
      <c r="AD709" t="s">
        <v>74</v>
      </c>
      <c r="AE709" t="s">
        <v>74</v>
      </c>
      <c r="AF709" t="s">
        <v>74</v>
      </c>
      <c r="AG709">
        <v>56</v>
      </c>
      <c r="AH709">
        <v>113</v>
      </c>
      <c r="AI709">
        <v>123</v>
      </c>
      <c r="AJ709">
        <v>0</v>
      </c>
      <c r="AK709">
        <v>22</v>
      </c>
      <c r="AL709" t="s">
        <v>6206</v>
      </c>
      <c r="AM709" t="s">
        <v>3008</v>
      </c>
      <c r="AN709" t="s">
        <v>6207</v>
      </c>
      <c r="AO709" t="s">
        <v>8985</v>
      </c>
      <c r="AP709" t="s">
        <v>74</v>
      </c>
      <c r="AQ709" t="s">
        <v>74</v>
      </c>
      <c r="AR709" t="s">
        <v>8986</v>
      </c>
      <c r="AS709" t="s">
        <v>8987</v>
      </c>
      <c r="AT709" t="s">
        <v>7937</v>
      </c>
      <c r="AU709">
        <v>2008</v>
      </c>
      <c r="AV709">
        <v>112</v>
      </c>
      <c r="AW709" t="s">
        <v>74</v>
      </c>
      <c r="AX709">
        <v>4</v>
      </c>
      <c r="AY709" t="s">
        <v>74</v>
      </c>
      <c r="AZ709" t="s">
        <v>74</v>
      </c>
      <c r="BA709" t="s">
        <v>74</v>
      </c>
      <c r="BB709">
        <v>472</v>
      </c>
      <c r="BC709">
        <v>484</v>
      </c>
      <c r="BD709" t="s">
        <v>74</v>
      </c>
      <c r="BE709" t="s">
        <v>8988</v>
      </c>
      <c r="BF709" t="str">
        <f>HYPERLINK("http://dx.doi.org/10.1016/j.mycres.2007.05.006","http://dx.doi.org/10.1016/j.mycres.2007.05.006")</f>
        <v>http://dx.doi.org/10.1016/j.mycres.2007.05.006</v>
      </c>
      <c r="BG709" t="s">
        <v>74</v>
      </c>
      <c r="BH709" t="s">
        <v>74</v>
      </c>
      <c r="BI709">
        <v>13</v>
      </c>
      <c r="BJ709" t="s">
        <v>2799</v>
      </c>
      <c r="BK709" t="s">
        <v>419</v>
      </c>
      <c r="BL709" t="s">
        <v>2799</v>
      </c>
      <c r="BM709" t="s">
        <v>8989</v>
      </c>
      <c r="BN709">
        <v>18314319</v>
      </c>
      <c r="BO709" t="s">
        <v>74</v>
      </c>
      <c r="BP709" t="s">
        <v>74</v>
      </c>
      <c r="BQ709" t="s">
        <v>74</v>
      </c>
      <c r="BR709" t="s">
        <v>101</v>
      </c>
      <c r="BS709" t="s">
        <v>8990</v>
      </c>
      <c r="BT709" t="str">
        <f>HYPERLINK("https%3A%2F%2Fwww.webofscience.com%2Fwos%2Fwoscc%2Ffull-record%2FWOS:000255692900006","View Full Record in Web of Science")</f>
        <v>View Full Record in Web of Science</v>
      </c>
    </row>
    <row r="710" spans="1:72" x14ac:dyDescent="0.15">
      <c r="A710" t="s">
        <v>72</v>
      </c>
      <c r="B710" t="s">
        <v>8991</v>
      </c>
      <c r="C710" t="s">
        <v>74</v>
      </c>
      <c r="D710" t="s">
        <v>74</v>
      </c>
      <c r="E710" t="s">
        <v>74</v>
      </c>
      <c r="F710" t="s">
        <v>8992</v>
      </c>
      <c r="G710" t="s">
        <v>74</v>
      </c>
      <c r="H710" t="s">
        <v>74</v>
      </c>
      <c r="I710" t="s">
        <v>8993</v>
      </c>
      <c r="J710" t="s">
        <v>8994</v>
      </c>
      <c r="K710" t="s">
        <v>74</v>
      </c>
      <c r="L710" t="s">
        <v>74</v>
      </c>
      <c r="M710" t="s">
        <v>78</v>
      </c>
      <c r="N710" t="s">
        <v>2737</v>
      </c>
      <c r="O710" t="s">
        <v>74</v>
      </c>
      <c r="P710" t="s">
        <v>74</v>
      </c>
      <c r="Q710" t="s">
        <v>74</v>
      </c>
      <c r="R710" t="s">
        <v>74</v>
      </c>
      <c r="S710" t="s">
        <v>74</v>
      </c>
      <c r="T710" t="s">
        <v>8995</v>
      </c>
      <c r="U710" t="s">
        <v>8996</v>
      </c>
      <c r="V710" t="s">
        <v>8997</v>
      </c>
      <c r="W710" t="s">
        <v>8998</v>
      </c>
      <c r="X710" t="s">
        <v>2786</v>
      </c>
      <c r="Y710" t="s">
        <v>8999</v>
      </c>
      <c r="Z710" t="s">
        <v>9000</v>
      </c>
      <c r="AA710" t="s">
        <v>9001</v>
      </c>
      <c r="AB710" t="s">
        <v>74</v>
      </c>
      <c r="AC710" t="s">
        <v>74</v>
      </c>
      <c r="AD710" t="s">
        <v>74</v>
      </c>
      <c r="AE710" t="s">
        <v>74</v>
      </c>
      <c r="AF710" t="s">
        <v>74</v>
      </c>
      <c r="AG710">
        <v>67</v>
      </c>
      <c r="AH710">
        <v>145</v>
      </c>
      <c r="AI710">
        <v>163</v>
      </c>
      <c r="AJ710">
        <v>1</v>
      </c>
      <c r="AK710">
        <v>36</v>
      </c>
      <c r="AL710" t="s">
        <v>9002</v>
      </c>
      <c r="AM710" t="s">
        <v>9003</v>
      </c>
      <c r="AN710" t="s">
        <v>9004</v>
      </c>
      <c r="AO710" t="s">
        <v>9005</v>
      </c>
      <c r="AP710" t="s">
        <v>74</v>
      </c>
      <c r="AQ710" t="s">
        <v>74</v>
      </c>
      <c r="AR710" t="s">
        <v>8994</v>
      </c>
      <c r="AS710" t="s">
        <v>9006</v>
      </c>
      <c r="AT710" t="s">
        <v>9007</v>
      </c>
      <c r="AU710">
        <v>2008</v>
      </c>
      <c r="AV710">
        <v>104</v>
      </c>
      <c r="AW710" t="s">
        <v>74</v>
      </c>
      <c r="AX710" t="s">
        <v>74</v>
      </c>
      <c r="AY710" t="s">
        <v>74</v>
      </c>
      <c r="AZ710" t="s">
        <v>74</v>
      </c>
      <c r="BA710" t="s">
        <v>74</v>
      </c>
      <c r="BB710">
        <v>189</v>
      </c>
      <c r="BC710">
        <v>204</v>
      </c>
      <c r="BD710" t="s">
        <v>74</v>
      </c>
      <c r="BE710" t="s">
        <v>74</v>
      </c>
      <c r="BF710" t="s">
        <v>74</v>
      </c>
      <c r="BG710" t="s">
        <v>74</v>
      </c>
      <c r="BH710" t="s">
        <v>74</v>
      </c>
      <c r="BI710">
        <v>16</v>
      </c>
      <c r="BJ710" t="s">
        <v>2799</v>
      </c>
      <c r="BK710" t="s">
        <v>419</v>
      </c>
      <c r="BL710" t="s">
        <v>2799</v>
      </c>
      <c r="BM710" t="s">
        <v>9008</v>
      </c>
      <c r="BN710" t="s">
        <v>74</v>
      </c>
      <c r="BO710" t="s">
        <v>74</v>
      </c>
      <c r="BP710" t="s">
        <v>74</v>
      </c>
      <c r="BQ710" t="s">
        <v>74</v>
      </c>
      <c r="BR710" t="s">
        <v>101</v>
      </c>
      <c r="BS710" t="s">
        <v>9009</v>
      </c>
      <c r="BT710" t="str">
        <f>HYPERLINK("https%3A%2F%2Fwww.webofscience.com%2Fwos%2Fwoscc%2Ffull-record%2FWOS:000257272200028","View Full Record in Web of Science")</f>
        <v>View Full Record in Web of Science</v>
      </c>
    </row>
    <row r="711" spans="1:72" x14ac:dyDescent="0.15">
      <c r="A711" t="s">
        <v>72</v>
      </c>
      <c r="B711" t="s">
        <v>9010</v>
      </c>
      <c r="C711" t="s">
        <v>74</v>
      </c>
      <c r="D711" t="s">
        <v>74</v>
      </c>
      <c r="E711" t="s">
        <v>74</v>
      </c>
      <c r="F711" t="s">
        <v>9011</v>
      </c>
      <c r="G711" t="s">
        <v>74</v>
      </c>
      <c r="H711" t="s">
        <v>74</v>
      </c>
      <c r="I711" t="s">
        <v>9012</v>
      </c>
      <c r="J711" t="s">
        <v>9013</v>
      </c>
      <c r="K711" t="s">
        <v>74</v>
      </c>
      <c r="L711" t="s">
        <v>74</v>
      </c>
      <c r="M711" t="s">
        <v>78</v>
      </c>
      <c r="N711" t="s">
        <v>2737</v>
      </c>
      <c r="O711" t="s">
        <v>74</v>
      </c>
      <c r="P711" t="s">
        <v>74</v>
      </c>
      <c r="Q711" t="s">
        <v>74</v>
      </c>
      <c r="R711" t="s">
        <v>74</v>
      </c>
      <c r="S711" t="s">
        <v>74</v>
      </c>
      <c r="T711" t="s">
        <v>74</v>
      </c>
      <c r="U711" t="s">
        <v>9014</v>
      </c>
      <c r="V711" t="s">
        <v>9015</v>
      </c>
      <c r="W711" t="s">
        <v>9016</v>
      </c>
      <c r="X711" t="s">
        <v>9017</v>
      </c>
      <c r="Y711" t="s">
        <v>9018</v>
      </c>
      <c r="Z711" t="s">
        <v>9019</v>
      </c>
      <c r="AA711" t="s">
        <v>9020</v>
      </c>
      <c r="AB711" t="s">
        <v>9021</v>
      </c>
      <c r="AC711" t="s">
        <v>3785</v>
      </c>
      <c r="AD711" t="s">
        <v>3031</v>
      </c>
      <c r="AE711" t="s">
        <v>74</v>
      </c>
      <c r="AF711" t="s">
        <v>74</v>
      </c>
      <c r="AG711">
        <v>25</v>
      </c>
      <c r="AH711">
        <v>86</v>
      </c>
      <c r="AI711">
        <v>88</v>
      </c>
      <c r="AJ711">
        <v>0</v>
      </c>
      <c r="AK711">
        <v>7</v>
      </c>
      <c r="AL711" t="s">
        <v>3549</v>
      </c>
      <c r="AM711" t="s">
        <v>3550</v>
      </c>
      <c r="AN711" t="s">
        <v>3551</v>
      </c>
      <c r="AO711" t="s">
        <v>9022</v>
      </c>
      <c r="AP711" t="s">
        <v>9023</v>
      </c>
      <c r="AQ711" t="s">
        <v>74</v>
      </c>
      <c r="AR711" t="s">
        <v>9024</v>
      </c>
      <c r="AS711" t="s">
        <v>9025</v>
      </c>
      <c r="AT711" t="s">
        <v>7937</v>
      </c>
      <c r="AU711">
        <v>2008</v>
      </c>
      <c r="AV711">
        <v>4</v>
      </c>
      <c r="AW711">
        <v>4</v>
      </c>
      <c r="AX711" t="s">
        <v>74</v>
      </c>
      <c r="AY711" t="s">
        <v>74</v>
      </c>
      <c r="AZ711" t="s">
        <v>74</v>
      </c>
      <c r="BA711" t="s">
        <v>74</v>
      </c>
      <c r="BB711">
        <v>301</v>
      </c>
      <c r="BC711">
        <v>304</v>
      </c>
      <c r="BD711" t="s">
        <v>74</v>
      </c>
      <c r="BE711" t="s">
        <v>9026</v>
      </c>
      <c r="BF711" t="str">
        <f>HYPERLINK("http://dx.doi.org/10.1038/nphys897","http://dx.doi.org/10.1038/nphys897")</f>
        <v>http://dx.doi.org/10.1038/nphys897</v>
      </c>
      <c r="BG711" t="s">
        <v>74</v>
      </c>
      <c r="BH711" t="s">
        <v>74</v>
      </c>
      <c r="BI711">
        <v>4</v>
      </c>
      <c r="BJ711" t="s">
        <v>6255</v>
      </c>
      <c r="BK711" t="s">
        <v>419</v>
      </c>
      <c r="BL711" t="s">
        <v>6256</v>
      </c>
      <c r="BM711" t="s">
        <v>9027</v>
      </c>
      <c r="BN711" t="s">
        <v>74</v>
      </c>
      <c r="BO711" t="s">
        <v>3290</v>
      </c>
      <c r="BP711" t="s">
        <v>74</v>
      </c>
      <c r="BQ711" t="s">
        <v>74</v>
      </c>
      <c r="BR711" t="s">
        <v>101</v>
      </c>
      <c r="BS711" t="s">
        <v>9028</v>
      </c>
      <c r="BT711" t="str">
        <f>HYPERLINK("https%3A%2F%2Fwww.webofscience.com%2Fwos%2Fwoscc%2Ffull-record%2FWOS:000255247400016","View Full Record in Web of Science")</f>
        <v>View Full Record in Web of Science</v>
      </c>
    </row>
    <row r="712" spans="1:72" x14ac:dyDescent="0.15">
      <c r="A712" t="s">
        <v>72</v>
      </c>
      <c r="B712" t="s">
        <v>9029</v>
      </c>
      <c r="C712" t="s">
        <v>74</v>
      </c>
      <c r="D712" t="s">
        <v>74</v>
      </c>
      <c r="E712" t="s">
        <v>74</v>
      </c>
      <c r="F712" t="s">
        <v>9030</v>
      </c>
      <c r="G712" t="s">
        <v>74</v>
      </c>
      <c r="H712" t="s">
        <v>74</v>
      </c>
      <c r="I712" t="s">
        <v>9031</v>
      </c>
      <c r="J712" t="s">
        <v>9032</v>
      </c>
      <c r="K712" t="s">
        <v>74</v>
      </c>
      <c r="L712" t="s">
        <v>74</v>
      </c>
      <c r="M712" t="s">
        <v>78</v>
      </c>
      <c r="N712" t="s">
        <v>2737</v>
      </c>
      <c r="O712" t="s">
        <v>74</v>
      </c>
      <c r="P712" t="s">
        <v>74</v>
      </c>
      <c r="Q712" t="s">
        <v>74</v>
      </c>
      <c r="R712" t="s">
        <v>74</v>
      </c>
      <c r="S712" t="s">
        <v>74</v>
      </c>
      <c r="T712" t="s">
        <v>9033</v>
      </c>
      <c r="U712" t="s">
        <v>9034</v>
      </c>
      <c r="V712" t="s">
        <v>9035</v>
      </c>
      <c r="W712" t="s">
        <v>9036</v>
      </c>
      <c r="X712" t="s">
        <v>2962</v>
      </c>
      <c r="Y712" t="s">
        <v>9037</v>
      </c>
      <c r="Z712" t="s">
        <v>9038</v>
      </c>
      <c r="AA712" t="s">
        <v>9039</v>
      </c>
      <c r="AB712" t="s">
        <v>9040</v>
      </c>
      <c r="AC712" t="s">
        <v>74</v>
      </c>
      <c r="AD712" t="s">
        <v>74</v>
      </c>
      <c r="AE712" t="s">
        <v>74</v>
      </c>
      <c r="AF712" t="s">
        <v>74</v>
      </c>
      <c r="AG712">
        <v>57</v>
      </c>
      <c r="AH712">
        <v>43</v>
      </c>
      <c r="AI712">
        <v>46</v>
      </c>
      <c r="AJ712">
        <v>1</v>
      </c>
      <c r="AK712">
        <v>62</v>
      </c>
      <c r="AL712" t="s">
        <v>2746</v>
      </c>
      <c r="AM712" t="s">
        <v>2747</v>
      </c>
      <c r="AN712" t="s">
        <v>2748</v>
      </c>
      <c r="AO712" t="s">
        <v>9041</v>
      </c>
      <c r="AP712" t="s">
        <v>74</v>
      </c>
      <c r="AQ712" t="s">
        <v>74</v>
      </c>
      <c r="AR712" t="s">
        <v>9032</v>
      </c>
      <c r="AS712" t="s">
        <v>9042</v>
      </c>
      <c r="AT712" t="s">
        <v>7937</v>
      </c>
      <c r="AU712">
        <v>2008</v>
      </c>
      <c r="AV712">
        <v>155</v>
      </c>
      <c r="AW712">
        <v>4</v>
      </c>
      <c r="AX712" t="s">
        <v>74</v>
      </c>
      <c r="AY712" t="s">
        <v>74</v>
      </c>
      <c r="AZ712" t="s">
        <v>74</v>
      </c>
      <c r="BA712" t="s">
        <v>74</v>
      </c>
      <c r="BB712">
        <v>831</v>
      </c>
      <c r="BC712">
        <v>844</v>
      </c>
      <c r="BD712" t="s">
        <v>74</v>
      </c>
      <c r="BE712" t="s">
        <v>9043</v>
      </c>
      <c r="BF712" t="str">
        <f>HYPERLINK("http://dx.doi.org/10.1007/s00442-007-0954-1","http://dx.doi.org/10.1007/s00442-007-0954-1")</f>
        <v>http://dx.doi.org/10.1007/s00442-007-0954-1</v>
      </c>
      <c r="BG712" t="s">
        <v>74</v>
      </c>
      <c r="BH712" t="s">
        <v>74</v>
      </c>
      <c r="BI712">
        <v>14</v>
      </c>
      <c r="BJ712" t="s">
        <v>8600</v>
      </c>
      <c r="BK712" t="s">
        <v>419</v>
      </c>
      <c r="BL712" t="s">
        <v>2972</v>
      </c>
      <c r="BM712" t="s">
        <v>9044</v>
      </c>
      <c r="BN712">
        <v>18253754</v>
      </c>
      <c r="BO712" t="s">
        <v>74</v>
      </c>
      <c r="BP712" t="s">
        <v>74</v>
      </c>
      <c r="BQ712" t="s">
        <v>74</v>
      </c>
      <c r="BR712" t="s">
        <v>101</v>
      </c>
      <c r="BS712" t="s">
        <v>9045</v>
      </c>
      <c r="BT712" t="str">
        <f>HYPERLINK("https%3A%2F%2Fwww.webofscience.com%2Fwos%2Fwoscc%2Ffull-record%2FWOS:000254238700016","View Full Record in Web of Science")</f>
        <v>View Full Record in Web of Science</v>
      </c>
    </row>
    <row r="713" spans="1:72" x14ac:dyDescent="0.15">
      <c r="A713" t="s">
        <v>72</v>
      </c>
      <c r="B713" t="s">
        <v>9046</v>
      </c>
      <c r="C713" t="s">
        <v>74</v>
      </c>
      <c r="D713" t="s">
        <v>74</v>
      </c>
      <c r="E713" t="s">
        <v>74</v>
      </c>
      <c r="F713" t="s">
        <v>9047</v>
      </c>
      <c r="G713" t="s">
        <v>74</v>
      </c>
      <c r="H713" t="s">
        <v>74</v>
      </c>
      <c r="I713" t="s">
        <v>9048</v>
      </c>
      <c r="J713" t="s">
        <v>9049</v>
      </c>
      <c r="K713" t="s">
        <v>74</v>
      </c>
      <c r="L713" t="s">
        <v>74</v>
      </c>
      <c r="M713" t="s">
        <v>78</v>
      </c>
      <c r="N713" t="s">
        <v>2737</v>
      </c>
      <c r="O713" t="s">
        <v>74</v>
      </c>
      <c r="P713" t="s">
        <v>74</v>
      </c>
      <c r="Q713" t="s">
        <v>74</v>
      </c>
      <c r="R713" t="s">
        <v>74</v>
      </c>
      <c r="S713" t="s">
        <v>74</v>
      </c>
      <c r="T713" t="s">
        <v>9050</v>
      </c>
      <c r="U713" t="s">
        <v>9051</v>
      </c>
      <c r="V713" t="s">
        <v>9052</v>
      </c>
      <c r="W713" t="s">
        <v>9053</v>
      </c>
      <c r="X713" t="s">
        <v>9054</v>
      </c>
      <c r="Y713" t="s">
        <v>9055</v>
      </c>
      <c r="Z713" t="s">
        <v>9056</v>
      </c>
      <c r="AA713" t="s">
        <v>9057</v>
      </c>
      <c r="AB713" t="s">
        <v>9058</v>
      </c>
      <c r="AC713" t="s">
        <v>74</v>
      </c>
      <c r="AD713" t="s">
        <v>74</v>
      </c>
      <c r="AE713" t="s">
        <v>74</v>
      </c>
      <c r="AF713" t="s">
        <v>74</v>
      </c>
      <c r="AG713">
        <v>71</v>
      </c>
      <c r="AH713">
        <v>11</v>
      </c>
      <c r="AI713">
        <v>14</v>
      </c>
      <c r="AJ713">
        <v>0</v>
      </c>
      <c r="AK713">
        <v>8</v>
      </c>
      <c r="AL713" t="s">
        <v>3257</v>
      </c>
      <c r="AM713" t="s">
        <v>3258</v>
      </c>
      <c r="AN713" t="s">
        <v>3259</v>
      </c>
      <c r="AO713" t="s">
        <v>9059</v>
      </c>
      <c r="AP713" t="s">
        <v>9060</v>
      </c>
      <c r="AQ713" t="s">
        <v>74</v>
      </c>
      <c r="AR713" t="s">
        <v>9061</v>
      </c>
      <c r="AS713" t="s">
        <v>9062</v>
      </c>
      <c r="AT713" t="s">
        <v>7937</v>
      </c>
      <c r="AU713">
        <v>2008</v>
      </c>
      <c r="AV713">
        <v>167</v>
      </c>
      <c r="AW713" t="s">
        <v>3263</v>
      </c>
      <c r="AX713" t="s">
        <v>74</v>
      </c>
      <c r="AY713" t="s">
        <v>74</v>
      </c>
      <c r="AZ713" t="s">
        <v>74</v>
      </c>
      <c r="BA713" t="s">
        <v>74</v>
      </c>
      <c r="BB713">
        <v>205</v>
      </c>
      <c r="BC713">
        <v>216</v>
      </c>
      <c r="BD713" t="s">
        <v>74</v>
      </c>
      <c r="BE713" t="s">
        <v>9063</v>
      </c>
      <c r="BF713" t="str">
        <f>HYPERLINK("http://dx.doi.org/10.1016/j.pepi.2008.04.006","http://dx.doi.org/10.1016/j.pepi.2008.04.006")</f>
        <v>http://dx.doi.org/10.1016/j.pepi.2008.04.006</v>
      </c>
      <c r="BG713" t="s">
        <v>74</v>
      </c>
      <c r="BH713" t="s">
        <v>74</v>
      </c>
      <c r="BI713">
        <v>12</v>
      </c>
      <c r="BJ713" t="s">
        <v>98</v>
      </c>
      <c r="BK713" t="s">
        <v>419</v>
      </c>
      <c r="BL713" t="s">
        <v>98</v>
      </c>
      <c r="BM713" t="s">
        <v>9064</v>
      </c>
      <c r="BN713" t="s">
        <v>74</v>
      </c>
      <c r="BO713" t="s">
        <v>74</v>
      </c>
      <c r="BP713" t="s">
        <v>74</v>
      </c>
      <c r="BQ713" t="s">
        <v>74</v>
      </c>
      <c r="BR713" t="s">
        <v>101</v>
      </c>
      <c r="BS713" t="s">
        <v>9065</v>
      </c>
      <c r="BT713" t="str">
        <f>HYPERLINK("https%3A%2F%2Fwww.webofscience.com%2Fwos%2Fwoscc%2Ffull-record%2FWOS:000257364800008","View Full Record in Web of Science")</f>
        <v>View Full Record in Web of Science</v>
      </c>
    </row>
    <row r="714" spans="1:72" x14ac:dyDescent="0.15">
      <c r="A714" t="s">
        <v>72</v>
      </c>
      <c r="B714" t="s">
        <v>9066</v>
      </c>
      <c r="C714" t="s">
        <v>74</v>
      </c>
      <c r="D714" t="s">
        <v>74</v>
      </c>
      <c r="E714" t="s">
        <v>74</v>
      </c>
      <c r="F714" t="s">
        <v>9067</v>
      </c>
      <c r="G714" t="s">
        <v>74</v>
      </c>
      <c r="H714" t="s">
        <v>74</v>
      </c>
      <c r="I714" t="s">
        <v>9068</v>
      </c>
      <c r="J714" t="s">
        <v>2883</v>
      </c>
      <c r="K714" t="s">
        <v>74</v>
      </c>
      <c r="L714" t="s">
        <v>74</v>
      </c>
      <c r="M714" t="s">
        <v>78</v>
      </c>
      <c r="N714" t="s">
        <v>2737</v>
      </c>
      <c r="O714" t="s">
        <v>74</v>
      </c>
      <c r="P714" t="s">
        <v>74</v>
      </c>
      <c r="Q714" t="s">
        <v>74</v>
      </c>
      <c r="R714" t="s">
        <v>74</v>
      </c>
      <c r="S714" t="s">
        <v>74</v>
      </c>
      <c r="T714" t="s">
        <v>9069</v>
      </c>
      <c r="U714" t="s">
        <v>9070</v>
      </c>
      <c r="V714" t="s">
        <v>9071</v>
      </c>
      <c r="W714" t="s">
        <v>9072</v>
      </c>
      <c r="X714" t="s">
        <v>9073</v>
      </c>
      <c r="Y714" t="s">
        <v>9074</v>
      </c>
      <c r="Z714" t="s">
        <v>9075</v>
      </c>
      <c r="AA714" t="s">
        <v>8735</v>
      </c>
      <c r="AB714" t="s">
        <v>8736</v>
      </c>
      <c r="AC714" t="s">
        <v>74</v>
      </c>
      <c r="AD714" t="s">
        <v>74</v>
      </c>
      <c r="AE714" t="s">
        <v>74</v>
      </c>
      <c r="AF714" t="s">
        <v>74</v>
      </c>
      <c r="AG714">
        <v>39</v>
      </c>
      <c r="AH714">
        <v>25</v>
      </c>
      <c r="AI714">
        <v>26</v>
      </c>
      <c r="AJ714">
        <v>0</v>
      </c>
      <c r="AK714">
        <v>16</v>
      </c>
      <c r="AL714" t="s">
        <v>2746</v>
      </c>
      <c r="AM714" t="s">
        <v>2747</v>
      </c>
      <c r="AN714" t="s">
        <v>2924</v>
      </c>
      <c r="AO714" t="s">
        <v>2891</v>
      </c>
      <c r="AP714" t="s">
        <v>2925</v>
      </c>
      <c r="AQ714" t="s">
        <v>74</v>
      </c>
      <c r="AR714" t="s">
        <v>2892</v>
      </c>
      <c r="AS714" t="s">
        <v>2893</v>
      </c>
      <c r="AT714" t="s">
        <v>7937</v>
      </c>
      <c r="AU714">
        <v>2008</v>
      </c>
      <c r="AV714">
        <v>31</v>
      </c>
      <c r="AW714">
        <v>5</v>
      </c>
      <c r="AX714" t="s">
        <v>74</v>
      </c>
      <c r="AY714" t="s">
        <v>74</v>
      </c>
      <c r="AZ714" t="s">
        <v>74</v>
      </c>
      <c r="BA714" t="s">
        <v>74</v>
      </c>
      <c r="BB714">
        <v>539</v>
      </c>
      <c r="BC714">
        <v>547</v>
      </c>
      <c r="BD714" t="s">
        <v>74</v>
      </c>
      <c r="BE714" t="s">
        <v>9076</v>
      </c>
      <c r="BF714" t="str">
        <f>HYPERLINK("http://dx.doi.org/10.1007/s00300-007-0385-9","http://dx.doi.org/10.1007/s00300-007-0385-9")</f>
        <v>http://dx.doi.org/10.1007/s00300-007-0385-9</v>
      </c>
      <c r="BG714" t="s">
        <v>74</v>
      </c>
      <c r="BH714" t="s">
        <v>74</v>
      </c>
      <c r="BI714">
        <v>9</v>
      </c>
      <c r="BJ714" t="s">
        <v>2895</v>
      </c>
      <c r="BK714" t="s">
        <v>419</v>
      </c>
      <c r="BL714" t="s">
        <v>2896</v>
      </c>
      <c r="BM714" t="s">
        <v>9077</v>
      </c>
      <c r="BN714" t="s">
        <v>74</v>
      </c>
      <c r="BO714" t="s">
        <v>74</v>
      </c>
      <c r="BP714" t="s">
        <v>74</v>
      </c>
      <c r="BQ714" t="s">
        <v>74</v>
      </c>
      <c r="BR714" t="s">
        <v>101</v>
      </c>
      <c r="BS714" t="s">
        <v>9078</v>
      </c>
      <c r="BT714" t="str">
        <f>HYPERLINK("https%3A%2F%2Fwww.webofscience.com%2Fwos%2Fwoscc%2Ffull-record%2FWOS:000254486900002","View Full Record in Web of Science")</f>
        <v>View Full Record in Web of Science</v>
      </c>
    </row>
    <row r="715" spans="1:72" x14ac:dyDescent="0.15">
      <c r="A715" t="s">
        <v>72</v>
      </c>
      <c r="B715" t="s">
        <v>9079</v>
      </c>
      <c r="C715" t="s">
        <v>74</v>
      </c>
      <c r="D715" t="s">
        <v>74</v>
      </c>
      <c r="E715" t="s">
        <v>74</v>
      </c>
      <c r="F715" t="s">
        <v>9080</v>
      </c>
      <c r="G715" t="s">
        <v>74</v>
      </c>
      <c r="H715" t="s">
        <v>74</v>
      </c>
      <c r="I715" t="s">
        <v>9081</v>
      </c>
      <c r="J715" t="s">
        <v>2883</v>
      </c>
      <c r="K715" t="s">
        <v>74</v>
      </c>
      <c r="L715" t="s">
        <v>74</v>
      </c>
      <c r="M715" t="s">
        <v>78</v>
      </c>
      <c r="N715" t="s">
        <v>2737</v>
      </c>
      <c r="O715" t="s">
        <v>74</v>
      </c>
      <c r="P715" t="s">
        <v>74</v>
      </c>
      <c r="Q715" t="s">
        <v>74</v>
      </c>
      <c r="R715" t="s">
        <v>74</v>
      </c>
      <c r="S715" t="s">
        <v>74</v>
      </c>
      <c r="T715" t="s">
        <v>9082</v>
      </c>
      <c r="U715" t="s">
        <v>9083</v>
      </c>
      <c r="V715" t="s">
        <v>9084</v>
      </c>
      <c r="W715" t="s">
        <v>9085</v>
      </c>
      <c r="X715" t="s">
        <v>9086</v>
      </c>
      <c r="Y715" t="s">
        <v>9087</v>
      </c>
      <c r="Z715" t="s">
        <v>9088</v>
      </c>
      <c r="AA715" t="s">
        <v>9089</v>
      </c>
      <c r="AB715" t="s">
        <v>9090</v>
      </c>
      <c r="AC715" t="s">
        <v>74</v>
      </c>
      <c r="AD715" t="s">
        <v>74</v>
      </c>
      <c r="AE715" t="s">
        <v>74</v>
      </c>
      <c r="AF715" t="s">
        <v>74</v>
      </c>
      <c r="AG715">
        <v>17</v>
      </c>
      <c r="AH715">
        <v>9</v>
      </c>
      <c r="AI715">
        <v>9</v>
      </c>
      <c r="AJ715">
        <v>1</v>
      </c>
      <c r="AK715">
        <v>23</v>
      </c>
      <c r="AL715" t="s">
        <v>2746</v>
      </c>
      <c r="AM715" t="s">
        <v>2747</v>
      </c>
      <c r="AN715" t="s">
        <v>6934</v>
      </c>
      <c r="AO715" t="s">
        <v>2891</v>
      </c>
      <c r="AP715" t="s">
        <v>74</v>
      </c>
      <c r="AQ715" t="s">
        <v>74</v>
      </c>
      <c r="AR715" t="s">
        <v>2892</v>
      </c>
      <c r="AS715" t="s">
        <v>2893</v>
      </c>
      <c r="AT715" t="s">
        <v>7937</v>
      </c>
      <c r="AU715">
        <v>2008</v>
      </c>
      <c r="AV715">
        <v>31</v>
      </c>
      <c r="AW715">
        <v>5</v>
      </c>
      <c r="AX715" t="s">
        <v>74</v>
      </c>
      <c r="AY715" t="s">
        <v>74</v>
      </c>
      <c r="AZ715" t="s">
        <v>74</v>
      </c>
      <c r="BA715" t="s">
        <v>74</v>
      </c>
      <c r="BB715">
        <v>557</v>
      </c>
      <c r="BC715">
        <v>560</v>
      </c>
      <c r="BD715" t="s">
        <v>74</v>
      </c>
      <c r="BE715" t="s">
        <v>9091</v>
      </c>
      <c r="BF715" t="str">
        <f>HYPERLINK("http://dx.doi.org/10.1007/s00300-007-0387-7","http://dx.doi.org/10.1007/s00300-007-0387-7")</f>
        <v>http://dx.doi.org/10.1007/s00300-007-0387-7</v>
      </c>
      <c r="BG715" t="s">
        <v>74</v>
      </c>
      <c r="BH715" t="s">
        <v>74</v>
      </c>
      <c r="BI715">
        <v>4</v>
      </c>
      <c r="BJ715" t="s">
        <v>2895</v>
      </c>
      <c r="BK715" t="s">
        <v>419</v>
      </c>
      <c r="BL715" t="s">
        <v>2896</v>
      </c>
      <c r="BM715" t="s">
        <v>9077</v>
      </c>
      <c r="BN715" t="s">
        <v>74</v>
      </c>
      <c r="BO715" t="s">
        <v>74</v>
      </c>
      <c r="BP715" t="s">
        <v>74</v>
      </c>
      <c r="BQ715" t="s">
        <v>74</v>
      </c>
      <c r="BR715" t="s">
        <v>101</v>
      </c>
      <c r="BS715" t="s">
        <v>9092</v>
      </c>
      <c r="BT715" t="str">
        <f>HYPERLINK("https%3A%2F%2Fwww.webofscience.com%2Fwos%2Fwoscc%2Ffull-record%2FWOS:000254486900004","View Full Record in Web of Science")</f>
        <v>View Full Record in Web of Science</v>
      </c>
    </row>
    <row r="716" spans="1:72" x14ac:dyDescent="0.15">
      <c r="A716" t="s">
        <v>72</v>
      </c>
      <c r="B716" t="s">
        <v>9093</v>
      </c>
      <c r="C716" t="s">
        <v>74</v>
      </c>
      <c r="D716" t="s">
        <v>74</v>
      </c>
      <c r="E716" t="s">
        <v>74</v>
      </c>
      <c r="F716" t="s">
        <v>9094</v>
      </c>
      <c r="G716" t="s">
        <v>74</v>
      </c>
      <c r="H716" t="s">
        <v>74</v>
      </c>
      <c r="I716" t="s">
        <v>9095</v>
      </c>
      <c r="J716" t="s">
        <v>2883</v>
      </c>
      <c r="K716" t="s">
        <v>74</v>
      </c>
      <c r="L716" t="s">
        <v>74</v>
      </c>
      <c r="M716" t="s">
        <v>78</v>
      </c>
      <c r="N716" t="s">
        <v>2737</v>
      </c>
      <c r="O716" t="s">
        <v>74</v>
      </c>
      <c r="P716" t="s">
        <v>74</v>
      </c>
      <c r="Q716" t="s">
        <v>74</v>
      </c>
      <c r="R716" t="s">
        <v>74</v>
      </c>
      <c r="S716" t="s">
        <v>74</v>
      </c>
      <c r="T716" t="s">
        <v>9096</v>
      </c>
      <c r="U716" t="s">
        <v>9097</v>
      </c>
      <c r="V716" t="s">
        <v>9098</v>
      </c>
      <c r="W716" t="s">
        <v>9099</v>
      </c>
      <c r="X716" t="s">
        <v>9100</v>
      </c>
      <c r="Y716" t="s">
        <v>9101</v>
      </c>
      <c r="Z716" t="s">
        <v>9102</v>
      </c>
      <c r="AA716" t="s">
        <v>9103</v>
      </c>
      <c r="AB716" t="s">
        <v>74</v>
      </c>
      <c r="AC716" t="s">
        <v>74</v>
      </c>
      <c r="AD716" t="s">
        <v>74</v>
      </c>
      <c r="AE716" t="s">
        <v>74</v>
      </c>
      <c r="AF716" t="s">
        <v>74</v>
      </c>
      <c r="AG716">
        <v>45</v>
      </c>
      <c r="AH716">
        <v>21</v>
      </c>
      <c r="AI716">
        <v>21</v>
      </c>
      <c r="AJ716">
        <v>0</v>
      </c>
      <c r="AK716">
        <v>13</v>
      </c>
      <c r="AL716" t="s">
        <v>2746</v>
      </c>
      <c r="AM716" t="s">
        <v>2747</v>
      </c>
      <c r="AN716" t="s">
        <v>2924</v>
      </c>
      <c r="AO716" t="s">
        <v>2891</v>
      </c>
      <c r="AP716" t="s">
        <v>2925</v>
      </c>
      <c r="AQ716" t="s">
        <v>74</v>
      </c>
      <c r="AR716" t="s">
        <v>2892</v>
      </c>
      <c r="AS716" t="s">
        <v>2893</v>
      </c>
      <c r="AT716" t="s">
        <v>7937</v>
      </c>
      <c r="AU716">
        <v>2008</v>
      </c>
      <c r="AV716">
        <v>31</v>
      </c>
      <c r="AW716">
        <v>5</v>
      </c>
      <c r="AX716" t="s">
        <v>74</v>
      </c>
      <c r="AY716" t="s">
        <v>74</v>
      </c>
      <c r="AZ716" t="s">
        <v>74</v>
      </c>
      <c r="BA716" t="s">
        <v>74</v>
      </c>
      <c r="BB716">
        <v>561</v>
      </c>
      <c r="BC716">
        <v>567</v>
      </c>
      <c r="BD716" t="s">
        <v>74</v>
      </c>
      <c r="BE716" t="s">
        <v>9104</v>
      </c>
      <c r="BF716" t="str">
        <f>HYPERLINK("http://dx.doi.org/10.1007/s00300-007-0388-6","http://dx.doi.org/10.1007/s00300-007-0388-6")</f>
        <v>http://dx.doi.org/10.1007/s00300-007-0388-6</v>
      </c>
      <c r="BG716" t="s">
        <v>74</v>
      </c>
      <c r="BH716" t="s">
        <v>74</v>
      </c>
      <c r="BI716">
        <v>7</v>
      </c>
      <c r="BJ716" t="s">
        <v>2895</v>
      </c>
      <c r="BK716" t="s">
        <v>419</v>
      </c>
      <c r="BL716" t="s">
        <v>2896</v>
      </c>
      <c r="BM716" t="s">
        <v>9077</v>
      </c>
      <c r="BN716" t="s">
        <v>74</v>
      </c>
      <c r="BO716" t="s">
        <v>74</v>
      </c>
      <c r="BP716" t="s">
        <v>74</v>
      </c>
      <c r="BQ716" t="s">
        <v>74</v>
      </c>
      <c r="BR716" t="s">
        <v>101</v>
      </c>
      <c r="BS716" t="s">
        <v>9105</v>
      </c>
      <c r="BT716" t="str">
        <f>HYPERLINK("https%3A%2F%2Fwww.webofscience.com%2Fwos%2Fwoscc%2Ffull-record%2FWOS:000254486900005","View Full Record in Web of Science")</f>
        <v>View Full Record in Web of Science</v>
      </c>
    </row>
    <row r="717" spans="1:72" x14ac:dyDescent="0.15">
      <c r="A717" t="s">
        <v>72</v>
      </c>
      <c r="B717" t="s">
        <v>9106</v>
      </c>
      <c r="C717" t="s">
        <v>74</v>
      </c>
      <c r="D717" t="s">
        <v>74</v>
      </c>
      <c r="E717" t="s">
        <v>74</v>
      </c>
      <c r="F717" t="s">
        <v>9107</v>
      </c>
      <c r="G717" t="s">
        <v>74</v>
      </c>
      <c r="H717" t="s">
        <v>74</v>
      </c>
      <c r="I717" t="s">
        <v>9108</v>
      </c>
      <c r="J717" t="s">
        <v>2883</v>
      </c>
      <c r="K717" t="s">
        <v>74</v>
      </c>
      <c r="L717" t="s">
        <v>74</v>
      </c>
      <c r="M717" t="s">
        <v>78</v>
      </c>
      <c r="N717" t="s">
        <v>2737</v>
      </c>
      <c r="O717" t="s">
        <v>74</v>
      </c>
      <c r="P717" t="s">
        <v>74</v>
      </c>
      <c r="Q717" t="s">
        <v>74</v>
      </c>
      <c r="R717" t="s">
        <v>74</v>
      </c>
      <c r="S717" t="s">
        <v>74</v>
      </c>
      <c r="T717" t="s">
        <v>9109</v>
      </c>
      <c r="U717" t="s">
        <v>9110</v>
      </c>
      <c r="V717" t="s">
        <v>9111</v>
      </c>
      <c r="W717" t="s">
        <v>9112</v>
      </c>
      <c r="X717" t="s">
        <v>9113</v>
      </c>
      <c r="Y717" t="s">
        <v>9114</v>
      </c>
      <c r="Z717" t="s">
        <v>9115</v>
      </c>
      <c r="AA717" t="s">
        <v>9116</v>
      </c>
      <c r="AB717" t="s">
        <v>9117</v>
      </c>
      <c r="AC717" t="s">
        <v>74</v>
      </c>
      <c r="AD717" t="s">
        <v>74</v>
      </c>
      <c r="AE717" t="s">
        <v>74</v>
      </c>
      <c r="AF717" t="s">
        <v>74</v>
      </c>
      <c r="AG717">
        <v>52</v>
      </c>
      <c r="AH717">
        <v>22</v>
      </c>
      <c r="AI717">
        <v>23</v>
      </c>
      <c r="AJ717">
        <v>1</v>
      </c>
      <c r="AK717">
        <v>17</v>
      </c>
      <c r="AL717" t="s">
        <v>2746</v>
      </c>
      <c r="AM717" t="s">
        <v>2747</v>
      </c>
      <c r="AN717" t="s">
        <v>2924</v>
      </c>
      <c r="AO717" t="s">
        <v>2891</v>
      </c>
      <c r="AP717" t="s">
        <v>2925</v>
      </c>
      <c r="AQ717" t="s">
        <v>74</v>
      </c>
      <c r="AR717" t="s">
        <v>2892</v>
      </c>
      <c r="AS717" t="s">
        <v>2893</v>
      </c>
      <c r="AT717" t="s">
        <v>7937</v>
      </c>
      <c r="AU717">
        <v>2008</v>
      </c>
      <c r="AV717">
        <v>31</v>
      </c>
      <c r="AW717">
        <v>5</v>
      </c>
      <c r="AX717" t="s">
        <v>74</v>
      </c>
      <c r="AY717" t="s">
        <v>74</v>
      </c>
      <c r="AZ717" t="s">
        <v>74</v>
      </c>
      <c r="BA717" t="s">
        <v>74</v>
      </c>
      <c r="BB717">
        <v>575</v>
      </c>
      <c r="BC717">
        <v>581</v>
      </c>
      <c r="BD717" t="s">
        <v>74</v>
      </c>
      <c r="BE717" t="s">
        <v>9118</v>
      </c>
      <c r="BF717" t="str">
        <f>HYPERLINK("http://dx.doi.org/10.1007/s00300-007-0391-y","http://dx.doi.org/10.1007/s00300-007-0391-y")</f>
        <v>http://dx.doi.org/10.1007/s00300-007-0391-y</v>
      </c>
      <c r="BG717" t="s">
        <v>74</v>
      </c>
      <c r="BH717" t="s">
        <v>74</v>
      </c>
      <c r="BI717">
        <v>7</v>
      </c>
      <c r="BJ717" t="s">
        <v>2895</v>
      </c>
      <c r="BK717" t="s">
        <v>419</v>
      </c>
      <c r="BL717" t="s">
        <v>2896</v>
      </c>
      <c r="BM717" t="s">
        <v>9077</v>
      </c>
      <c r="BN717" t="s">
        <v>74</v>
      </c>
      <c r="BO717" t="s">
        <v>3110</v>
      </c>
      <c r="BP717" t="s">
        <v>74</v>
      </c>
      <c r="BQ717" t="s">
        <v>74</v>
      </c>
      <c r="BR717" t="s">
        <v>101</v>
      </c>
      <c r="BS717" t="s">
        <v>9119</v>
      </c>
      <c r="BT717" t="str">
        <f>HYPERLINK("https%3A%2F%2Fwww.webofscience.com%2Fwos%2Fwoscc%2Ffull-record%2FWOS:000254486900007","View Full Record in Web of Science")</f>
        <v>View Full Record in Web of Science</v>
      </c>
    </row>
    <row r="718" spans="1:72" x14ac:dyDescent="0.15">
      <c r="A718" t="s">
        <v>72</v>
      </c>
      <c r="B718" t="s">
        <v>9120</v>
      </c>
      <c r="C718" t="s">
        <v>74</v>
      </c>
      <c r="D718" t="s">
        <v>74</v>
      </c>
      <c r="E718" t="s">
        <v>74</v>
      </c>
      <c r="F718" t="s">
        <v>9121</v>
      </c>
      <c r="G718" t="s">
        <v>74</v>
      </c>
      <c r="H718" t="s">
        <v>74</v>
      </c>
      <c r="I718" t="s">
        <v>9122</v>
      </c>
      <c r="J718" t="s">
        <v>2883</v>
      </c>
      <c r="K718" t="s">
        <v>74</v>
      </c>
      <c r="L718" t="s">
        <v>74</v>
      </c>
      <c r="M718" t="s">
        <v>78</v>
      </c>
      <c r="N718" t="s">
        <v>2737</v>
      </c>
      <c r="O718" t="s">
        <v>74</v>
      </c>
      <c r="P718" t="s">
        <v>74</v>
      </c>
      <c r="Q718" t="s">
        <v>74</v>
      </c>
      <c r="R718" t="s">
        <v>74</v>
      </c>
      <c r="S718" t="s">
        <v>74</v>
      </c>
      <c r="T718" t="s">
        <v>9123</v>
      </c>
      <c r="U718" t="s">
        <v>9124</v>
      </c>
      <c r="V718" t="s">
        <v>9125</v>
      </c>
      <c r="W718" t="s">
        <v>9126</v>
      </c>
      <c r="X718" t="s">
        <v>9127</v>
      </c>
      <c r="Y718" t="s">
        <v>9128</v>
      </c>
      <c r="Z718" t="s">
        <v>9129</v>
      </c>
      <c r="AA718" t="s">
        <v>9130</v>
      </c>
      <c r="AB718" t="s">
        <v>9131</v>
      </c>
      <c r="AC718" t="s">
        <v>9132</v>
      </c>
      <c r="AD718" t="s">
        <v>2792</v>
      </c>
      <c r="AE718" t="s">
        <v>74</v>
      </c>
      <c r="AF718" t="s">
        <v>74</v>
      </c>
      <c r="AG718">
        <v>55</v>
      </c>
      <c r="AH718">
        <v>13</v>
      </c>
      <c r="AI718">
        <v>14</v>
      </c>
      <c r="AJ718">
        <v>0</v>
      </c>
      <c r="AK718">
        <v>6</v>
      </c>
      <c r="AL718" t="s">
        <v>2746</v>
      </c>
      <c r="AM718" t="s">
        <v>2747</v>
      </c>
      <c r="AN718" t="s">
        <v>2748</v>
      </c>
      <c r="AO718" t="s">
        <v>2891</v>
      </c>
      <c r="AP718" t="s">
        <v>74</v>
      </c>
      <c r="AQ718" t="s">
        <v>74</v>
      </c>
      <c r="AR718" t="s">
        <v>2892</v>
      </c>
      <c r="AS718" t="s">
        <v>2893</v>
      </c>
      <c r="AT718" t="s">
        <v>7937</v>
      </c>
      <c r="AU718">
        <v>2008</v>
      </c>
      <c r="AV718">
        <v>31</v>
      </c>
      <c r="AW718">
        <v>5</v>
      </c>
      <c r="AX718" t="s">
        <v>74</v>
      </c>
      <c r="AY718" t="s">
        <v>74</v>
      </c>
      <c r="AZ718" t="s">
        <v>74</v>
      </c>
      <c r="BA718" t="s">
        <v>74</v>
      </c>
      <c r="BB718">
        <v>583</v>
      </c>
      <c r="BC718">
        <v>594</v>
      </c>
      <c r="BD718" t="s">
        <v>74</v>
      </c>
      <c r="BE718" t="s">
        <v>9133</v>
      </c>
      <c r="BF718" t="str">
        <f>HYPERLINK("http://dx.doi.org/10.1007/s00300-007-0392-x","http://dx.doi.org/10.1007/s00300-007-0392-x")</f>
        <v>http://dx.doi.org/10.1007/s00300-007-0392-x</v>
      </c>
      <c r="BG718" t="s">
        <v>74</v>
      </c>
      <c r="BH718" t="s">
        <v>74</v>
      </c>
      <c r="BI718">
        <v>12</v>
      </c>
      <c r="BJ718" t="s">
        <v>2895</v>
      </c>
      <c r="BK718" t="s">
        <v>419</v>
      </c>
      <c r="BL718" t="s">
        <v>2896</v>
      </c>
      <c r="BM718" t="s">
        <v>9077</v>
      </c>
      <c r="BN718" t="s">
        <v>74</v>
      </c>
      <c r="BO718" t="s">
        <v>74</v>
      </c>
      <c r="BP718" t="s">
        <v>74</v>
      </c>
      <c r="BQ718" t="s">
        <v>74</v>
      </c>
      <c r="BR718" t="s">
        <v>101</v>
      </c>
      <c r="BS718" t="s">
        <v>9134</v>
      </c>
      <c r="BT718" t="str">
        <f>HYPERLINK("https%3A%2F%2Fwww.webofscience.com%2Fwos%2Fwoscc%2Ffull-record%2FWOS:000254486900008","View Full Record in Web of Science")</f>
        <v>View Full Record in Web of Science</v>
      </c>
    </row>
    <row r="719" spans="1:72" x14ac:dyDescent="0.15">
      <c r="A719" t="s">
        <v>72</v>
      </c>
      <c r="B719" t="s">
        <v>9135</v>
      </c>
      <c r="C719" t="s">
        <v>74</v>
      </c>
      <c r="D719" t="s">
        <v>74</v>
      </c>
      <c r="E719" t="s">
        <v>74</v>
      </c>
      <c r="F719" t="s">
        <v>9136</v>
      </c>
      <c r="G719" t="s">
        <v>74</v>
      </c>
      <c r="H719" t="s">
        <v>74</v>
      </c>
      <c r="I719" t="s">
        <v>9137</v>
      </c>
      <c r="J719" t="s">
        <v>2883</v>
      </c>
      <c r="K719" t="s">
        <v>74</v>
      </c>
      <c r="L719" t="s">
        <v>74</v>
      </c>
      <c r="M719" t="s">
        <v>78</v>
      </c>
      <c r="N719" t="s">
        <v>2737</v>
      </c>
      <c r="O719" t="s">
        <v>74</v>
      </c>
      <c r="P719" t="s">
        <v>74</v>
      </c>
      <c r="Q719" t="s">
        <v>74</v>
      </c>
      <c r="R719" t="s">
        <v>74</v>
      </c>
      <c r="S719" t="s">
        <v>74</v>
      </c>
      <c r="T719" t="s">
        <v>9138</v>
      </c>
      <c r="U719" t="s">
        <v>9139</v>
      </c>
      <c r="V719" t="s">
        <v>9140</v>
      </c>
      <c r="W719" t="s">
        <v>9141</v>
      </c>
      <c r="X719" t="s">
        <v>9142</v>
      </c>
      <c r="Y719" t="s">
        <v>9143</v>
      </c>
      <c r="Z719" t="s">
        <v>9144</v>
      </c>
      <c r="AA719" t="s">
        <v>9145</v>
      </c>
      <c r="AB719" t="s">
        <v>74</v>
      </c>
      <c r="AC719" t="s">
        <v>74</v>
      </c>
      <c r="AD719" t="s">
        <v>74</v>
      </c>
      <c r="AE719" t="s">
        <v>74</v>
      </c>
      <c r="AF719" t="s">
        <v>74</v>
      </c>
      <c r="AG719">
        <v>27</v>
      </c>
      <c r="AH719">
        <v>15</v>
      </c>
      <c r="AI719">
        <v>19</v>
      </c>
      <c r="AJ719">
        <v>0</v>
      </c>
      <c r="AK719">
        <v>3</v>
      </c>
      <c r="AL719" t="s">
        <v>2746</v>
      </c>
      <c r="AM719" t="s">
        <v>2747</v>
      </c>
      <c r="AN719" t="s">
        <v>2748</v>
      </c>
      <c r="AO719" t="s">
        <v>2891</v>
      </c>
      <c r="AP719" t="s">
        <v>2925</v>
      </c>
      <c r="AQ719" t="s">
        <v>74</v>
      </c>
      <c r="AR719" t="s">
        <v>2892</v>
      </c>
      <c r="AS719" t="s">
        <v>2893</v>
      </c>
      <c r="AT719" t="s">
        <v>7937</v>
      </c>
      <c r="AU719">
        <v>2008</v>
      </c>
      <c r="AV719">
        <v>31</v>
      </c>
      <c r="AW719">
        <v>5</v>
      </c>
      <c r="AX719" t="s">
        <v>74</v>
      </c>
      <c r="AY719" t="s">
        <v>74</v>
      </c>
      <c r="AZ719" t="s">
        <v>74</v>
      </c>
      <c r="BA719" t="s">
        <v>74</v>
      </c>
      <c r="BB719">
        <v>595</v>
      </c>
      <c r="BC719">
        <v>603</v>
      </c>
      <c r="BD719" t="s">
        <v>74</v>
      </c>
      <c r="BE719" t="s">
        <v>9146</v>
      </c>
      <c r="BF719" t="str">
        <f>HYPERLINK("http://dx.doi.org/10.1007/s00300-007-0393-9","http://dx.doi.org/10.1007/s00300-007-0393-9")</f>
        <v>http://dx.doi.org/10.1007/s00300-007-0393-9</v>
      </c>
      <c r="BG719" t="s">
        <v>74</v>
      </c>
      <c r="BH719" t="s">
        <v>74</v>
      </c>
      <c r="BI719">
        <v>9</v>
      </c>
      <c r="BJ719" t="s">
        <v>2895</v>
      </c>
      <c r="BK719" t="s">
        <v>419</v>
      </c>
      <c r="BL719" t="s">
        <v>2896</v>
      </c>
      <c r="BM719" t="s">
        <v>9077</v>
      </c>
      <c r="BN719" t="s">
        <v>74</v>
      </c>
      <c r="BO719" t="s">
        <v>74</v>
      </c>
      <c r="BP719" t="s">
        <v>74</v>
      </c>
      <c r="BQ719" t="s">
        <v>74</v>
      </c>
      <c r="BR719" t="s">
        <v>101</v>
      </c>
      <c r="BS719" t="s">
        <v>9147</v>
      </c>
      <c r="BT719" t="str">
        <f>HYPERLINK("https%3A%2F%2Fwww.webofscience.com%2Fwos%2Fwoscc%2Ffull-record%2FWOS:000254486900009","View Full Record in Web of Science")</f>
        <v>View Full Record in Web of Science</v>
      </c>
    </row>
    <row r="720" spans="1:72" x14ac:dyDescent="0.15">
      <c r="A720" t="s">
        <v>72</v>
      </c>
      <c r="B720" t="s">
        <v>9148</v>
      </c>
      <c r="C720" t="s">
        <v>74</v>
      </c>
      <c r="D720" t="s">
        <v>74</v>
      </c>
      <c r="E720" t="s">
        <v>74</v>
      </c>
      <c r="F720" t="s">
        <v>9149</v>
      </c>
      <c r="G720" t="s">
        <v>74</v>
      </c>
      <c r="H720" t="s">
        <v>74</v>
      </c>
      <c r="I720" t="s">
        <v>9150</v>
      </c>
      <c r="J720" t="s">
        <v>2883</v>
      </c>
      <c r="K720" t="s">
        <v>74</v>
      </c>
      <c r="L720" t="s">
        <v>74</v>
      </c>
      <c r="M720" t="s">
        <v>78</v>
      </c>
      <c r="N720" t="s">
        <v>2737</v>
      </c>
      <c r="O720" t="s">
        <v>74</v>
      </c>
      <c r="P720" t="s">
        <v>74</v>
      </c>
      <c r="Q720" t="s">
        <v>74</v>
      </c>
      <c r="R720" t="s">
        <v>74</v>
      </c>
      <c r="S720" t="s">
        <v>74</v>
      </c>
      <c r="T720" t="s">
        <v>74</v>
      </c>
      <c r="U720" t="s">
        <v>9151</v>
      </c>
      <c r="V720" t="s">
        <v>9152</v>
      </c>
      <c r="W720" t="s">
        <v>9153</v>
      </c>
      <c r="X720" t="s">
        <v>9154</v>
      </c>
      <c r="Y720" t="s">
        <v>9155</v>
      </c>
      <c r="Z720" t="s">
        <v>9156</v>
      </c>
      <c r="AA720" t="s">
        <v>9157</v>
      </c>
      <c r="AB720" t="s">
        <v>74</v>
      </c>
      <c r="AC720" t="s">
        <v>74</v>
      </c>
      <c r="AD720" t="s">
        <v>74</v>
      </c>
      <c r="AE720" t="s">
        <v>74</v>
      </c>
      <c r="AF720" t="s">
        <v>74</v>
      </c>
      <c r="AG720">
        <v>26</v>
      </c>
      <c r="AH720">
        <v>27</v>
      </c>
      <c r="AI720">
        <v>30</v>
      </c>
      <c r="AJ720">
        <v>0</v>
      </c>
      <c r="AK720">
        <v>6</v>
      </c>
      <c r="AL720" t="s">
        <v>2746</v>
      </c>
      <c r="AM720" t="s">
        <v>2747</v>
      </c>
      <c r="AN720" t="s">
        <v>2748</v>
      </c>
      <c r="AO720" t="s">
        <v>2891</v>
      </c>
      <c r="AP720" t="s">
        <v>2925</v>
      </c>
      <c r="AQ720" t="s">
        <v>74</v>
      </c>
      <c r="AR720" t="s">
        <v>2892</v>
      </c>
      <c r="AS720" t="s">
        <v>2893</v>
      </c>
      <c r="AT720" t="s">
        <v>7937</v>
      </c>
      <c r="AU720">
        <v>2008</v>
      </c>
      <c r="AV720">
        <v>31</v>
      </c>
      <c r="AW720">
        <v>5</v>
      </c>
      <c r="AX720" t="s">
        <v>74</v>
      </c>
      <c r="AY720" t="s">
        <v>74</v>
      </c>
      <c r="AZ720" t="s">
        <v>74</v>
      </c>
      <c r="BA720" t="s">
        <v>74</v>
      </c>
      <c r="BB720">
        <v>605</v>
      </c>
      <c r="BC720">
        <v>608</v>
      </c>
      <c r="BD720" t="s">
        <v>74</v>
      </c>
      <c r="BE720" t="s">
        <v>9158</v>
      </c>
      <c r="BF720" t="str">
        <f>HYPERLINK("http://dx.doi.org/10.1007/s00300-007-0394-8","http://dx.doi.org/10.1007/s00300-007-0394-8")</f>
        <v>http://dx.doi.org/10.1007/s00300-007-0394-8</v>
      </c>
      <c r="BG720" t="s">
        <v>74</v>
      </c>
      <c r="BH720" t="s">
        <v>74</v>
      </c>
      <c r="BI720">
        <v>4</v>
      </c>
      <c r="BJ720" t="s">
        <v>2895</v>
      </c>
      <c r="BK720" t="s">
        <v>419</v>
      </c>
      <c r="BL720" t="s">
        <v>2896</v>
      </c>
      <c r="BM720" t="s">
        <v>9077</v>
      </c>
      <c r="BN720" t="s">
        <v>74</v>
      </c>
      <c r="BO720" t="s">
        <v>74</v>
      </c>
      <c r="BP720" t="s">
        <v>74</v>
      </c>
      <c r="BQ720" t="s">
        <v>74</v>
      </c>
      <c r="BR720" t="s">
        <v>101</v>
      </c>
      <c r="BS720" t="s">
        <v>9159</v>
      </c>
      <c r="BT720" t="str">
        <f>HYPERLINK("https%3A%2F%2Fwww.webofscience.com%2Fwos%2Fwoscc%2Ffull-record%2FWOS:000254486900010","View Full Record in Web of Science")</f>
        <v>View Full Record in Web of Science</v>
      </c>
    </row>
    <row r="721" spans="1:72" x14ac:dyDescent="0.15">
      <c r="A721" t="s">
        <v>72</v>
      </c>
      <c r="B721" t="s">
        <v>9160</v>
      </c>
      <c r="C721" t="s">
        <v>74</v>
      </c>
      <c r="D721" t="s">
        <v>74</v>
      </c>
      <c r="E721" t="s">
        <v>74</v>
      </c>
      <c r="F721" t="s">
        <v>9161</v>
      </c>
      <c r="G721" t="s">
        <v>74</v>
      </c>
      <c r="H721" t="s">
        <v>74</v>
      </c>
      <c r="I721" t="s">
        <v>9162</v>
      </c>
      <c r="J721" t="s">
        <v>2883</v>
      </c>
      <c r="K721" t="s">
        <v>74</v>
      </c>
      <c r="L721" t="s">
        <v>74</v>
      </c>
      <c r="M721" t="s">
        <v>78</v>
      </c>
      <c r="N721" t="s">
        <v>2737</v>
      </c>
      <c r="O721" t="s">
        <v>74</v>
      </c>
      <c r="P721" t="s">
        <v>74</v>
      </c>
      <c r="Q721" t="s">
        <v>74</v>
      </c>
      <c r="R721" t="s">
        <v>74</v>
      </c>
      <c r="S721" t="s">
        <v>74</v>
      </c>
      <c r="T721" t="s">
        <v>9163</v>
      </c>
      <c r="U721" t="s">
        <v>9164</v>
      </c>
      <c r="V721" t="s">
        <v>9165</v>
      </c>
      <c r="W721" t="s">
        <v>9166</v>
      </c>
      <c r="X721" t="s">
        <v>9167</v>
      </c>
      <c r="Y721" t="s">
        <v>9168</v>
      </c>
      <c r="Z721" t="s">
        <v>9169</v>
      </c>
      <c r="AA721" t="s">
        <v>9170</v>
      </c>
      <c r="AB721" t="s">
        <v>9171</v>
      </c>
      <c r="AC721" t="s">
        <v>74</v>
      </c>
      <c r="AD721" t="s">
        <v>74</v>
      </c>
      <c r="AE721" t="s">
        <v>74</v>
      </c>
      <c r="AF721" t="s">
        <v>74</v>
      </c>
      <c r="AG721">
        <v>24</v>
      </c>
      <c r="AH721">
        <v>12</v>
      </c>
      <c r="AI721">
        <v>14</v>
      </c>
      <c r="AJ721">
        <v>0</v>
      </c>
      <c r="AK721">
        <v>4</v>
      </c>
      <c r="AL721" t="s">
        <v>2746</v>
      </c>
      <c r="AM721" t="s">
        <v>2747</v>
      </c>
      <c r="AN721" t="s">
        <v>2924</v>
      </c>
      <c r="AO721" t="s">
        <v>2891</v>
      </c>
      <c r="AP721" t="s">
        <v>2925</v>
      </c>
      <c r="AQ721" t="s">
        <v>74</v>
      </c>
      <c r="AR721" t="s">
        <v>2892</v>
      </c>
      <c r="AS721" t="s">
        <v>2893</v>
      </c>
      <c r="AT721" t="s">
        <v>7937</v>
      </c>
      <c r="AU721">
        <v>2008</v>
      </c>
      <c r="AV721">
        <v>31</v>
      </c>
      <c r="AW721">
        <v>5</v>
      </c>
      <c r="AX721" t="s">
        <v>74</v>
      </c>
      <c r="AY721" t="s">
        <v>74</v>
      </c>
      <c r="AZ721" t="s">
        <v>74</v>
      </c>
      <c r="BA721" t="s">
        <v>74</v>
      </c>
      <c r="BB721">
        <v>629</v>
      </c>
      <c r="BC721">
        <v>634</v>
      </c>
      <c r="BD721" t="s">
        <v>74</v>
      </c>
      <c r="BE721" t="s">
        <v>9172</v>
      </c>
      <c r="BF721" t="str">
        <f>HYPERLINK("http://dx.doi.org/10.1007/s00300-007-0399-3","http://dx.doi.org/10.1007/s00300-007-0399-3")</f>
        <v>http://dx.doi.org/10.1007/s00300-007-0399-3</v>
      </c>
      <c r="BG721" t="s">
        <v>74</v>
      </c>
      <c r="BH721" t="s">
        <v>74</v>
      </c>
      <c r="BI721">
        <v>6</v>
      </c>
      <c r="BJ721" t="s">
        <v>2895</v>
      </c>
      <c r="BK721" t="s">
        <v>419</v>
      </c>
      <c r="BL721" t="s">
        <v>2896</v>
      </c>
      <c r="BM721" t="s">
        <v>9077</v>
      </c>
      <c r="BN721" t="s">
        <v>74</v>
      </c>
      <c r="BO721" t="s">
        <v>74</v>
      </c>
      <c r="BP721" t="s">
        <v>74</v>
      </c>
      <c r="BQ721" t="s">
        <v>74</v>
      </c>
      <c r="BR721" t="s">
        <v>101</v>
      </c>
      <c r="BS721" t="s">
        <v>9173</v>
      </c>
      <c r="BT721" t="str">
        <f>HYPERLINK("https%3A%2F%2Fwww.webofscience.com%2Fwos%2Fwoscc%2Ffull-record%2FWOS:000254486900013","View Full Record in Web of Science")</f>
        <v>View Full Record in Web of Science</v>
      </c>
    </row>
    <row r="722" spans="1:72" x14ac:dyDescent="0.15">
      <c r="A722" t="s">
        <v>72</v>
      </c>
      <c r="B722" t="s">
        <v>9174</v>
      </c>
      <c r="C722" t="s">
        <v>74</v>
      </c>
      <c r="D722" t="s">
        <v>74</v>
      </c>
      <c r="E722" t="s">
        <v>74</v>
      </c>
      <c r="F722" t="s">
        <v>9175</v>
      </c>
      <c r="G722" t="s">
        <v>74</v>
      </c>
      <c r="H722" t="s">
        <v>74</v>
      </c>
      <c r="I722" t="s">
        <v>9176</v>
      </c>
      <c r="J722" t="s">
        <v>2883</v>
      </c>
      <c r="K722" t="s">
        <v>74</v>
      </c>
      <c r="L722" t="s">
        <v>74</v>
      </c>
      <c r="M722" t="s">
        <v>78</v>
      </c>
      <c r="N722" t="s">
        <v>2737</v>
      </c>
      <c r="O722" t="s">
        <v>74</v>
      </c>
      <c r="P722" t="s">
        <v>74</v>
      </c>
      <c r="Q722" t="s">
        <v>74</v>
      </c>
      <c r="R722" t="s">
        <v>74</v>
      </c>
      <c r="S722" t="s">
        <v>74</v>
      </c>
      <c r="T722" t="s">
        <v>9177</v>
      </c>
      <c r="U722" t="s">
        <v>9178</v>
      </c>
      <c r="V722" t="s">
        <v>9179</v>
      </c>
      <c r="W722" t="s">
        <v>9180</v>
      </c>
      <c r="X722" t="s">
        <v>9181</v>
      </c>
      <c r="Y722" t="s">
        <v>9182</v>
      </c>
      <c r="Z722" t="s">
        <v>9183</v>
      </c>
      <c r="AA722" t="s">
        <v>9184</v>
      </c>
      <c r="AB722" t="s">
        <v>9185</v>
      </c>
      <c r="AC722" t="s">
        <v>74</v>
      </c>
      <c r="AD722" t="s">
        <v>74</v>
      </c>
      <c r="AE722" t="s">
        <v>74</v>
      </c>
      <c r="AF722" t="s">
        <v>74</v>
      </c>
      <c r="AG722">
        <v>35</v>
      </c>
      <c r="AH722">
        <v>45</v>
      </c>
      <c r="AI722">
        <v>51</v>
      </c>
      <c r="AJ722">
        <v>1</v>
      </c>
      <c r="AK722">
        <v>15</v>
      </c>
      <c r="AL722" t="s">
        <v>2746</v>
      </c>
      <c r="AM722" t="s">
        <v>2747</v>
      </c>
      <c r="AN722" t="s">
        <v>2748</v>
      </c>
      <c r="AO722" t="s">
        <v>2891</v>
      </c>
      <c r="AP722" t="s">
        <v>74</v>
      </c>
      <c r="AQ722" t="s">
        <v>74</v>
      </c>
      <c r="AR722" t="s">
        <v>2892</v>
      </c>
      <c r="AS722" t="s">
        <v>2893</v>
      </c>
      <c r="AT722" t="s">
        <v>7937</v>
      </c>
      <c r="AU722">
        <v>2008</v>
      </c>
      <c r="AV722">
        <v>31</v>
      </c>
      <c r="AW722">
        <v>5</v>
      </c>
      <c r="AX722" t="s">
        <v>74</v>
      </c>
      <c r="AY722" t="s">
        <v>74</v>
      </c>
      <c r="AZ722" t="s">
        <v>74</v>
      </c>
      <c r="BA722" t="s">
        <v>74</v>
      </c>
      <c r="BB722">
        <v>635</v>
      </c>
      <c r="BC722">
        <v>640</v>
      </c>
      <c r="BD722" t="s">
        <v>74</v>
      </c>
      <c r="BE722" t="s">
        <v>9186</v>
      </c>
      <c r="BF722" t="str">
        <f>HYPERLINK("http://dx.doi.org/10.1007/s00300-007-0400-1","http://dx.doi.org/10.1007/s00300-007-0400-1")</f>
        <v>http://dx.doi.org/10.1007/s00300-007-0400-1</v>
      </c>
      <c r="BG722" t="s">
        <v>74</v>
      </c>
      <c r="BH722" t="s">
        <v>74</v>
      </c>
      <c r="BI722">
        <v>6</v>
      </c>
      <c r="BJ722" t="s">
        <v>2895</v>
      </c>
      <c r="BK722" t="s">
        <v>419</v>
      </c>
      <c r="BL722" t="s">
        <v>2896</v>
      </c>
      <c r="BM722" t="s">
        <v>9077</v>
      </c>
      <c r="BN722" t="s">
        <v>74</v>
      </c>
      <c r="BO722" t="s">
        <v>74</v>
      </c>
      <c r="BP722" t="s">
        <v>74</v>
      </c>
      <c r="BQ722" t="s">
        <v>74</v>
      </c>
      <c r="BR722" t="s">
        <v>101</v>
      </c>
      <c r="BS722" t="s">
        <v>9187</v>
      </c>
      <c r="BT722" t="str">
        <f>HYPERLINK("https%3A%2F%2Fwww.webofscience.com%2Fwos%2Fwoscc%2Ffull-record%2FWOS:000254486900014","View Full Record in Web of Science")</f>
        <v>View Full Record in Web of Science</v>
      </c>
    </row>
    <row r="723" spans="1:72" x14ac:dyDescent="0.15">
      <c r="A723" t="s">
        <v>72</v>
      </c>
      <c r="B723" t="s">
        <v>9188</v>
      </c>
      <c r="C723" t="s">
        <v>74</v>
      </c>
      <c r="D723" t="s">
        <v>74</v>
      </c>
      <c r="E723" t="s">
        <v>74</v>
      </c>
      <c r="F723" t="s">
        <v>9189</v>
      </c>
      <c r="G723" t="s">
        <v>74</v>
      </c>
      <c r="H723" t="s">
        <v>74</v>
      </c>
      <c r="I723" t="s">
        <v>9190</v>
      </c>
      <c r="J723" t="s">
        <v>2883</v>
      </c>
      <c r="K723" t="s">
        <v>74</v>
      </c>
      <c r="L723" t="s">
        <v>74</v>
      </c>
      <c r="M723" t="s">
        <v>78</v>
      </c>
      <c r="N723" t="s">
        <v>2737</v>
      </c>
      <c r="O723" t="s">
        <v>74</v>
      </c>
      <c r="P723" t="s">
        <v>74</v>
      </c>
      <c r="Q723" t="s">
        <v>74</v>
      </c>
      <c r="R723" t="s">
        <v>74</v>
      </c>
      <c r="S723" t="s">
        <v>74</v>
      </c>
      <c r="T723" t="s">
        <v>9191</v>
      </c>
      <c r="U723" t="s">
        <v>9192</v>
      </c>
      <c r="V723" t="s">
        <v>9193</v>
      </c>
      <c r="W723" t="s">
        <v>9194</v>
      </c>
      <c r="X723" t="s">
        <v>9195</v>
      </c>
      <c r="Y723" t="s">
        <v>9196</v>
      </c>
      <c r="Z723" t="s">
        <v>9197</v>
      </c>
      <c r="AA723" t="s">
        <v>74</v>
      </c>
      <c r="AB723" t="s">
        <v>9198</v>
      </c>
      <c r="AC723" t="s">
        <v>74</v>
      </c>
      <c r="AD723" t="s">
        <v>74</v>
      </c>
      <c r="AE723" t="s">
        <v>74</v>
      </c>
      <c r="AF723" t="s">
        <v>74</v>
      </c>
      <c r="AG723">
        <v>53</v>
      </c>
      <c r="AH723">
        <v>18</v>
      </c>
      <c r="AI723">
        <v>21</v>
      </c>
      <c r="AJ723">
        <v>2</v>
      </c>
      <c r="AK723">
        <v>36</v>
      </c>
      <c r="AL723" t="s">
        <v>2746</v>
      </c>
      <c r="AM723" t="s">
        <v>2747</v>
      </c>
      <c r="AN723" t="s">
        <v>2924</v>
      </c>
      <c r="AO723" t="s">
        <v>2891</v>
      </c>
      <c r="AP723" t="s">
        <v>2925</v>
      </c>
      <c r="AQ723" t="s">
        <v>74</v>
      </c>
      <c r="AR723" t="s">
        <v>2892</v>
      </c>
      <c r="AS723" t="s">
        <v>2893</v>
      </c>
      <c r="AT723" t="s">
        <v>7937</v>
      </c>
      <c r="AU723">
        <v>2008</v>
      </c>
      <c r="AV723">
        <v>31</v>
      </c>
      <c r="AW723">
        <v>5</v>
      </c>
      <c r="AX723" t="s">
        <v>74</v>
      </c>
      <c r="AY723" t="s">
        <v>74</v>
      </c>
      <c r="AZ723" t="s">
        <v>74</v>
      </c>
      <c r="BA723" t="s">
        <v>74</v>
      </c>
      <c r="BB723">
        <v>641</v>
      </c>
      <c r="BC723">
        <v>649</v>
      </c>
      <c r="BD723" t="s">
        <v>74</v>
      </c>
      <c r="BE723" t="s">
        <v>9199</v>
      </c>
      <c r="BF723" t="str">
        <f>HYPERLINK("http://dx.doi.org/10.1007/s00300-007-0401-0","http://dx.doi.org/10.1007/s00300-007-0401-0")</f>
        <v>http://dx.doi.org/10.1007/s00300-007-0401-0</v>
      </c>
      <c r="BG723" t="s">
        <v>74</v>
      </c>
      <c r="BH723" t="s">
        <v>74</v>
      </c>
      <c r="BI723">
        <v>9</v>
      </c>
      <c r="BJ723" t="s">
        <v>2895</v>
      </c>
      <c r="BK723" t="s">
        <v>419</v>
      </c>
      <c r="BL723" t="s">
        <v>2896</v>
      </c>
      <c r="BM723" t="s">
        <v>9077</v>
      </c>
      <c r="BN723" t="s">
        <v>74</v>
      </c>
      <c r="BO723" t="s">
        <v>74</v>
      </c>
      <c r="BP723" t="s">
        <v>74</v>
      </c>
      <c r="BQ723" t="s">
        <v>74</v>
      </c>
      <c r="BR723" t="s">
        <v>101</v>
      </c>
      <c r="BS723" t="s">
        <v>9200</v>
      </c>
      <c r="BT723" t="str">
        <f>HYPERLINK("https%3A%2F%2Fwww.webofscience.com%2Fwos%2Fwoscc%2Ffull-record%2FWOS:000254486900015","View Full Record in Web of Science")</f>
        <v>View Full Record in Web of Science</v>
      </c>
    </row>
    <row r="724" spans="1:72" x14ac:dyDescent="0.15">
      <c r="A724" t="s">
        <v>72</v>
      </c>
      <c r="B724" t="s">
        <v>9201</v>
      </c>
      <c r="C724" t="s">
        <v>74</v>
      </c>
      <c r="D724" t="s">
        <v>74</v>
      </c>
      <c r="E724" t="s">
        <v>74</v>
      </c>
      <c r="F724" t="s">
        <v>9202</v>
      </c>
      <c r="G724" t="s">
        <v>74</v>
      </c>
      <c r="H724" t="s">
        <v>74</v>
      </c>
      <c r="I724" t="s">
        <v>9203</v>
      </c>
      <c r="J724" t="s">
        <v>2883</v>
      </c>
      <c r="K724" t="s">
        <v>74</v>
      </c>
      <c r="L724" t="s">
        <v>74</v>
      </c>
      <c r="M724" t="s">
        <v>78</v>
      </c>
      <c r="N724" t="s">
        <v>2737</v>
      </c>
      <c r="O724" t="s">
        <v>74</v>
      </c>
      <c r="P724" t="s">
        <v>74</v>
      </c>
      <c r="Q724" t="s">
        <v>74</v>
      </c>
      <c r="R724" t="s">
        <v>74</v>
      </c>
      <c r="S724" t="s">
        <v>74</v>
      </c>
      <c r="T724" t="s">
        <v>9204</v>
      </c>
      <c r="U724" t="s">
        <v>9205</v>
      </c>
      <c r="V724" t="s">
        <v>9206</v>
      </c>
      <c r="W724" t="s">
        <v>9207</v>
      </c>
      <c r="X724" t="s">
        <v>9208</v>
      </c>
      <c r="Y724" t="s">
        <v>9209</v>
      </c>
      <c r="Z724" t="s">
        <v>9210</v>
      </c>
      <c r="AA724" t="s">
        <v>9211</v>
      </c>
      <c r="AB724" t="s">
        <v>9212</v>
      </c>
      <c r="AC724" t="s">
        <v>74</v>
      </c>
      <c r="AD724" t="s">
        <v>74</v>
      </c>
      <c r="AE724" t="s">
        <v>74</v>
      </c>
      <c r="AF724" t="s">
        <v>74</v>
      </c>
      <c r="AG724">
        <v>28</v>
      </c>
      <c r="AH724">
        <v>30</v>
      </c>
      <c r="AI724">
        <v>33</v>
      </c>
      <c r="AJ724">
        <v>0</v>
      </c>
      <c r="AK724">
        <v>21</v>
      </c>
      <c r="AL724" t="s">
        <v>2746</v>
      </c>
      <c r="AM724" t="s">
        <v>2747</v>
      </c>
      <c r="AN724" t="s">
        <v>2924</v>
      </c>
      <c r="AO724" t="s">
        <v>2891</v>
      </c>
      <c r="AP724" t="s">
        <v>2925</v>
      </c>
      <c r="AQ724" t="s">
        <v>74</v>
      </c>
      <c r="AR724" t="s">
        <v>2892</v>
      </c>
      <c r="AS724" t="s">
        <v>2893</v>
      </c>
      <c r="AT724" t="s">
        <v>7937</v>
      </c>
      <c r="AU724">
        <v>2008</v>
      </c>
      <c r="AV724">
        <v>31</v>
      </c>
      <c r="AW724">
        <v>5</v>
      </c>
      <c r="AX724" t="s">
        <v>74</v>
      </c>
      <c r="AY724" t="s">
        <v>74</v>
      </c>
      <c r="AZ724" t="s">
        <v>74</v>
      </c>
      <c r="BA724" t="s">
        <v>74</v>
      </c>
      <c r="BB724">
        <v>651</v>
      </c>
      <c r="BC724">
        <v>655</v>
      </c>
      <c r="BD724" t="s">
        <v>74</v>
      </c>
      <c r="BE724" t="s">
        <v>9213</v>
      </c>
      <c r="BF724" t="str">
        <f>HYPERLINK("http://dx.doi.org/10.1007/s00300-007-0402-z","http://dx.doi.org/10.1007/s00300-007-0402-z")</f>
        <v>http://dx.doi.org/10.1007/s00300-007-0402-z</v>
      </c>
      <c r="BG724" t="s">
        <v>74</v>
      </c>
      <c r="BH724" t="s">
        <v>74</v>
      </c>
      <c r="BI724">
        <v>5</v>
      </c>
      <c r="BJ724" t="s">
        <v>2895</v>
      </c>
      <c r="BK724" t="s">
        <v>419</v>
      </c>
      <c r="BL724" t="s">
        <v>2896</v>
      </c>
      <c r="BM724" t="s">
        <v>9077</v>
      </c>
      <c r="BN724" t="s">
        <v>74</v>
      </c>
      <c r="BO724" t="s">
        <v>74</v>
      </c>
      <c r="BP724" t="s">
        <v>74</v>
      </c>
      <c r="BQ724" t="s">
        <v>74</v>
      </c>
      <c r="BR724" t="s">
        <v>101</v>
      </c>
      <c r="BS724" t="s">
        <v>9214</v>
      </c>
      <c r="BT724" t="str">
        <f>HYPERLINK("https%3A%2F%2Fwww.webofscience.com%2Fwos%2Fwoscc%2Ffull-record%2FWOS:000254486900016","View Full Record in Web of Science")</f>
        <v>View Full Record in Web of Science</v>
      </c>
    </row>
    <row r="725" spans="1:72" x14ac:dyDescent="0.15">
      <c r="A725" t="s">
        <v>72</v>
      </c>
      <c r="B725" t="s">
        <v>9215</v>
      </c>
      <c r="C725" t="s">
        <v>74</v>
      </c>
      <c r="D725" t="s">
        <v>74</v>
      </c>
      <c r="E725" t="s">
        <v>74</v>
      </c>
      <c r="F725" t="s">
        <v>9216</v>
      </c>
      <c r="G725" t="s">
        <v>74</v>
      </c>
      <c r="H725" t="s">
        <v>74</v>
      </c>
      <c r="I725" t="s">
        <v>9217</v>
      </c>
      <c r="J725" t="s">
        <v>2957</v>
      </c>
      <c r="K725" t="s">
        <v>74</v>
      </c>
      <c r="L725" t="s">
        <v>74</v>
      </c>
      <c r="M725" t="s">
        <v>78</v>
      </c>
      <c r="N725" t="s">
        <v>2737</v>
      </c>
      <c r="O725" t="s">
        <v>74</v>
      </c>
      <c r="P725" t="s">
        <v>74</v>
      </c>
      <c r="Q725" t="s">
        <v>74</v>
      </c>
      <c r="R725" t="s">
        <v>74</v>
      </c>
      <c r="S725" t="s">
        <v>74</v>
      </c>
      <c r="T725" t="s">
        <v>74</v>
      </c>
      <c r="U725" t="s">
        <v>74</v>
      </c>
      <c r="V725" t="s">
        <v>9218</v>
      </c>
      <c r="W725" t="s">
        <v>9219</v>
      </c>
      <c r="X725" t="s">
        <v>74</v>
      </c>
      <c r="Y725" t="s">
        <v>9220</v>
      </c>
      <c r="Z725" t="s">
        <v>74</v>
      </c>
      <c r="AA725" t="s">
        <v>74</v>
      </c>
      <c r="AB725" t="s">
        <v>74</v>
      </c>
      <c r="AC725" t="s">
        <v>74</v>
      </c>
      <c r="AD725" t="s">
        <v>74</v>
      </c>
      <c r="AE725" t="s">
        <v>74</v>
      </c>
      <c r="AF725" t="s">
        <v>74</v>
      </c>
      <c r="AG725">
        <v>22</v>
      </c>
      <c r="AH725">
        <v>29</v>
      </c>
      <c r="AI725">
        <v>35</v>
      </c>
      <c r="AJ725">
        <v>0</v>
      </c>
      <c r="AK725">
        <v>26</v>
      </c>
      <c r="AL725" t="s">
        <v>2964</v>
      </c>
      <c r="AM725" t="s">
        <v>2747</v>
      </c>
      <c r="AN725" t="s">
        <v>2965</v>
      </c>
      <c r="AO725" t="s">
        <v>2966</v>
      </c>
      <c r="AP725" t="s">
        <v>2967</v>
      </c>
      <c r="AQ725" t="s">
        <v>74</v>
      </c>
      <c r="AR725" t="s">
        <v>2968</v>
      </c>
      <c r="AS725" t="s">
        <v>2969</v>
      </c>
      <c r="AT725" t="s">
        <v>7937</v>
      </c>
      <c r="AU725">
        <v>2008</v>
      </c>
      <c r="AV725">
        <v>44</v>
      </c>
      <c r="AW725">
        <v>229</v>
      </c>
      <c r="AX725" t="s">
        <v>74</v>
      </c>
      <c r="AY725" t="s">
        <v>74</v>
      </c>
      <c r="AZ725" t="s">
        <v>74</v>
      </c>
      <c r="BA725" t="s">
        <v>74</v>
      </c>
      <c r="BB725">
        <v>107</v>
      </c>
      <c r="BC725">
        <v>114</v>
      </c>
      <c r="BD725" t="s">
        <v>74</v>
      </c>
      <c r="BE725" t="s">
        <v>9221</v>
      </c>
      <c r="BF725" t="str">
        <f>HYPERLINK("http://dx.doi.org/10.1017/S0032247407007127","http://dx.doi.org/10.1017/S0032247407007127")</f>
        <v>http://dx.doi.org/10.1017/S0032247407007127</v>
      </c>
      <c r="BG725" t="s">
        <v>74</v>
      </c>
      <c r="BH725" t="s">
        <v>74</v>
      </c>
      <c r="BI725">
        <v>8</v>
      </c>
      <c r="BJ725" t="s">
        <v>2971</v>
      </c>
      <c r="BK725" t="s">
        <v>419</v>
      </c>
      <c r="BL725" t="s">
        <v>2972</v>
      </c>
      <c r="BM725" t="s">
        <v>9222</v>
      </c>
      <c r="BN725" t="s">
        <v>74</v>
      </c>
      <c r="BO725" t="s">
        <v>74</v>
      </c>
      <c r="BP725" t="s">
        <v>74</v>
      </c>
      <c r="BQ725" t="s">
        <v>74</v>
      </c>
      <c r="BR725" t="s">
        <v>101</v>
      </c>
      <c r="BS725" t="s">
        <v>9223</v>
      </c>
      <c r="BT725" t="str">
        <f>HYPERLINK("https%3A%2F%2Fwww.webofscience.com%2Fwos%2Fwoscc%2Ffull-record%2FWOS:000253188200002","View Full Record in Web of Science")</f>
        <v>View Full Record in Web of Science</v>
      </c>
    </row>
    <row r="726" spans="1:72" x14ac:dyDescent="0.15">
      <c r="A726" t="s">
        <v>72</v>
      </c>
      <c r="B726" t="s">
        <v>9224</v>
      </c>
      <c r="C726" t="s">
        <v>74</v>
      </c>
      <c r="D726" t="s">
        <v>74</v>
      </c>
      <c r="E726" t="s">
        <v>74</v>
      </c>
      <c r="F726" t="s">
        <v>9225</v>
      </c>
      <c r="G726" t="s">
        <v>74</v>
      </c>
      <c r="H726" t="s">
        <v>74</v>
      </c>
      <c r="I726" t="s">
        <v>9226</v>
      </c>
      <c r="J726" t="s">
        <v>2957</v>
      </c>
      <c r="K726" t="s">
        <v>74</v>
      </c>
      <c r="L726" t="s">
        <v>74</v>
      </c>
      <c r="M726" t="s">
        <v>78</v>
      </c>
      <c r="N726" t="s">
        <v>2737</v>
      </c>
      <c r="O726" t="s">
        <v>74</v>
      </c>
      <c r="P726" t="s">
        <v>74</v>
      </c>
      <c r="Q726" t="s">
        <v>74</v>
      </c>
      <c r="R726" t="s">
        <v>74</v>
      </c>
      <c r="S726" t="s">
        <v>74</v>
      </c>
      <c r="T726" t="s">
        <v>74</v>
      </c>
      <c r="U726" t="s">
        <v>9227</v>
      </c>
      <c r="V726" t="s">
        <v>9228</v>
      </c>
      <c r="W726" t="s">
        <v>9229</v>
      </c>
      <c r="X726" t="s">
        <v>74</v>
      </c>
      <c r="Y726" t="s">
        <v>9230</v>
      </c>
      <c r="Z726" t="s">
        <v>74</v>
      </c>
      <c r="AA726" t="s">
        <v>74</v>
      </c>
      <c r="AB726" t="s">
        <v>74</v>
      </c>
      <c r="AC726" t="s">
        <v>74</v>
      </c>
      <c r="AD726" t="s">
        <v>74</v>
      </c>
      <c r="AE726" t="s">
        <v>74</v>
      </c>
      <c r="AF726" t="s">
        <v>74</v>
      </c>
      <c r="AG726">
        <v>96</v>
      </c>
      <c r="AH726">
        <v>2</v>
      </c>
      <c r="AI726">
        <v>2</v>
      </c>
      <c r="AJ726">
        <v>0</v>
      </c>
      <c r="AK726">
        <v>2</v>
      </c>
      <c r="AL726" t="s">
        <v>2964</v>
      </c>
      <c r="AM726" t="s">
        <v>2747</v>
      </c>
      <c r="AN726" t="s">
        <v>2965</v>
      </c>
      <c r="AO726" t="s">
        <v>2966</v>
      </c>
      <c r="AP726" t="s">
        <v>74</v>
      </c>
      <c r="AQ726" t="s">
        <v>74</v>
      </c>
      <c r="AR726" t="s">
        <v>2968</v>
      </c>
      <c r="AS726" t="s">
        <v>2969</v>
      </c>
      <c r="AT726" t="s">
        <v>7937</v>
      </c>
      <c r="AU726">
        <v>2008</v>
      </c>
      <c r="AV726">
        <v>44</v>
      </c>
      <c r="AW726">
        <v>229</v>
      </c>
      <c r="AX726" t="s">
        <v>74</v>
      </c>
      <c r="AY726" t="s">
        <v>74</v>
      </c>
      <c r="AZ726" t="s">
        <v>74</v>
      </c>
      <c r="BA726" t="s">
        <v>74</v>
      </c>
      <c r="BB726">
        <v>115</v>
      </c>
      <c r="BC726">
        <v>125</v>
      </c>
      <c r="BD726" t="s">
        <v>74</v>
      </c>
      <c r="BE726" t="s">
        <v>9231</v>
      </c>
      <c r="BF726" t="str">
        <f>HYPERLINK("http://dx.doi.org/10.1017/S0032247407007115","http://dx.doi.org/10.1017/S0032247407007115")</f>
        <v>http://dx.doi.org/10.1017/S0032247407007115</v>
      </c>
      <c r="BG726" t="s">
        <v>74</v>
      </c>
      <c r="BH726" t="s">
        <v>74</v>
      </c>
      <c r="BI726">
        <v>11</v>
      </c>
      <c r="BJ726" t="s">
        <v>2971</v>
      </c>
      <c r="BK726" t="s">
        <v>9232</v>
      </c>
      <c r="BL726" t="s">
        <v>2972</v>
      </c>
      <c r="BM726" t="s">
        <v>9222</v>
      </c>
      <c r="BN726" t="s">
        <v>74</v>
      </c>
      <c r="BO726" t="s">
        <v>74</v>
      </c>
      <c r="BP726" t="s">
        <v>74</v>
      </c>
      <c r="BQ726" t="s">
        <v>74</v>
      </c>
      <c r="BR726" t="s">
        <v>101</v>
      </c>
      <c r="BS726" t="s">
        <v>9233</v>
      </c>
      <c r="BT726" t="str">
        <f>HYPERLINK("https%3A%2F%2Fwww.webofscience.com%2Fwos%2Fwoscc%2Ffull-record%2FWOS:000253188200003","View Full Record in Web of Science")</f>
        <v>View Full Record in Web of Science</v>
      </c>
    </row>
    <row r="727" spans="1:72" x14ac:dyDescent="0.15">
      <c r="A727" t="s">
        <v>72</v>
      </c>
      <c r="B727" t="s">
        <v>9234</v>
      </c>
      <c r="C727" t="s">
        <v>74</v>
      </c>
      <c r="D727" t="s">
        <v>74</v>
      </c>
      <c r="E727" t="s">
        <v>74</v>
      </c>
      <c r="F727" t="s">
        <v>9235</v>
      </c>
      <c r="G727" t="s">
        <v>74</v>
      </c>
      <c r="H727" t="s">
        <v>74</v>
      </c>
      <c r="I727" t="s">
        <v>9236</v>
      </c>
      <c r="J727" t="s">
        <v>2957</v>
      </c>
      <c r="K727" t="s">
        <v>74</v>
      </c>
      <c r="L727" t="s">
        <v>74</v>
      </c>
      <c r="M727" t="s">
        <v>78</v>
      </c>
      <c r="N727" t="s">
        <v>2737</v>
      </c>
      <c r="O727" t="s">
        <v>74</v>
      </c>
      <c r="P727" t="s">
        <v>74</v>
      </c>
      <c r="Q727" t="s">
        <v>74</v>
      </c>
      <c r="R727" t="s">
        <v>74</v>
      </c>
      <c r="S727" t="s">
        <v>74</v>
      </c>
      <c r="T727" t="s">
        <v>74</v>
      </c>
      <c r="U727" t="s">
        <v>9237</v>
      </c>
      <c r="V727" t="s">
        <v>9238</v>
      </c>
      <c r="W727" t="s">
        <v>9239</v>
      </c>
      <c r="X727" t="s">
        <v>9240</v>
      </c>
      <c r="Y727" t="s">
        <v>9241</v>
      </c>
      <c r="Z727" t="s">
        <v>74</v>
      </c>
      <c r="AA727" t="s">
        <v>74</v>
      </c>
      <c r="AB727" t="s">
        <v>74</v>
      </c>
      <c r="AC727" t="s">
        <v>74</v>
      </c>
      <c r="AD727" t="s">
        <v>74</v>
      </c>
      <c r="AE727" t="s">
        <v>74</v>
      </c>
      <c r="AF727" t="s">
        <v>74</v>
      </c>
      <c r="AG727">
        <v>43</v>
      </c>
      <c r="AH727">
        <v>14</v>
      </c>
      <c r="AI727">
        <v>14</v>
      </c>
      <c r="AJ727">
        <v>0</v>
      </c>
      <c r="AK727">
        <v>7</v>
      </c>
      <c r="AL727" t="s">
        <v>2964</v>
      </c>
      <c r="AM727" t="s">
        <v>2747</v>
      </c>
      <c r="AN727" t="s">
        <v>2965</v>
      </c>
      <c r="AO727" t="s">
        <v>2966</v>
      </c>
      <c r="AP727" t="s">
        <v>74</v>
      </c>
      <c r="AQ727" t="s">
        <v>74</v>
      </c>
      <c r="AR727" t="s">
        <v>2968</v>
      </c>
      <c r="AS727" t="s">
        <v>2969</v>
      </c>
      <c r="AT727" t="s">
        <v>7937</v>
      </c>
      <c r="AU727">
        <v>2008</v>
      </c>
      <c r="AV727">
        <v>44</v>
      </c>
      <c r="AW727">
        <v>229</v>
      </c>
      <c r="AX727" t="s">
        <v>74</v>
      </c>
      <c r="AY727" t="s">
        <v>74</v>
      </c>
      <c r="AZ727" t="s">
        <v>74</v>
      </c>
      <c r="BA727" t="s">
        <v>74</v>
      </c>
      <c r="BB727">
        <v>155</v>
      </c>
      <c r="BC727">
        <v>164</v>
      </c>
      <c r="BD727" t="s">
        <v>74</v>
      </c>
      <c r="BE727" t="s">
        <v>9242</v>
      </c>
      <c r="BF727" t="str">
        <f>HYPERLINK("http://dx.doi.org/10.1017/S003224740700722X","http://dx.doi.org/10.1017/S003224740700722X")</f>
        <v>http://dx.doi.org/10.1017/S003224740700722X</v>
      </c>
      <c r="BG727" t="s">
        <v>74</v>
      </c>
      <c r="BH727" t="s">
        <v>74</v>
      </c>
      <c r="BI727">
        <v>10</v>
      </c>
      <c r="BJ727" t="s">
        <v>2971</v>
      </c>
      <c r="BK727" t="s">
        <v>419</v>
      </c>
      <c r="BL727" t="s">
        <v>2972</v>
      </c>
      <c r="BM727" t="s">
        <v>9222</v>
      </c>
      <c r="BN727" t="s">
        <v>74</v>
      </c>
      <c r="BO727" t="s">
        <v>74</v>
      </c>
      <c r="BP727" t="s">
        <v>74</v>
      </c>
      <c r="BQ727" t="s">
        <v>74</v>
      </c>
      <c r="BR727" t="s">
        <v>101</v>
      </c>
      <c r="BS727" t="s">
        <v>9243</v>
      </c>
      <c r="BT727" t="str">
        <f>HYPERLINK("https%3A%2F%2Fwww.webofscience.com%2Fwos%2Fwoscc%2Ffull-record%2FWOS:000253188200005","View Full Record in Web of Science")</f>
        <v>View Full Record in Web of Science</v>
      </c>
    </row>
    <row r="728" spans="1:72" x14ac:dyDescent="0.15">
      <c r="A728" t="s">
        <v>72</v>
      </c>
      <c r="B728" t="s">
        <v>9244</v>
      </c>
      <c r="C728" t="s">
        <v>74</v>
      </c>
      <c r="D728" t="s">
        <v>74</v>
      </c>
      <c r="E728" t="s">
        <v>74</v>
      </c>
      <c r="F728" t="s">
        <v>9245</v>
      </c>
      <c r="G728" t="s">
        <v>74</v>
      </c>
      <c r="H728" t="s">
        <v>74</v>
      </c>
      <c r="I728" t="s">
        <v>9246</v>
      </c>
      <c r="J728" t="s">
        <v>2957</v>
      </c>
      <c r="K728" t="s">
        <v>74</v>
      </c>
      <c r="L728" t="s">
        <v>74</v>
      </c>
      <c r="M728" t="s">
        <v>78</v>
      </c>
      <c r="N728" t="s">
        <v>2737</v>
      </c>
      <c r="O728" t="s">
        <v>74</v>
      </c>
      <c r="P728" t="s">
        <v>74</v>
      </c>
      <c r="Q728" t="s">
        <v>74</v>
      </c>
      <c r="R728" t="s">
        <v>74</v>
      </c>
      <c r="S728" t="s">
        <v>74</v>
      </c>
      <c r="T728" t="s">
        <v>74</v>
      </c>
      <c r="U728" t="s">
        <v>9247</v>
      </c>
      <c r="V728" t="s">
        <v>9248</v>
      </c>
      <c r="W728" t="s">
        <v>9249</v>
      </c>
      <c r="X728" t="s">
        <v>9250</v>
      </c>
      <c r="Y728" t="s">
        <v>9251</v>
      </c>
      <c r="Z728" t="s">
        <v>74</v>
      </c>
      <c r="AA728" t="s">
        <v>74</v>
      </c>
      <c r="AB728" t="s">
        <v>74</v>
      </c>
      <c r="AC728" t="s">
        <v>74</v>
      </c>
      <c r="AD728" t="s">
        <v>74</v>
      </c>
      <c r="AE728" t="s">
        <v>74</v>
      </c>
      <c r="AF728" t="s">
        <v>74</v>
      </c>
      <c r="AG728">
        <v>24</v>
      </c>
      <c r="AH728">
        <v>21</v>
      </c>
      <c r="AI728">
        <v>22</v>
      </c>
      <c r="AJ728">
        <v>0</v>
      </c>
      <c r="AK728">
        <v>30</v>
      </c>
      <c r="AL728" t="s">
        <v>2964</v>
      </c>
      <c r="AM728" t="s">
        <v>2747</v>
      </c>
      <c r="AN728" t="s">
        <v>2965</v>
      </c>
      <c r="AO728" t="s">
        <v>2966</v>
      </c>
      <c r="AP728" t="s">
        <v>74</v>
      </c>
      <c r="AQ728" t="s">
        <v>74</v>
      </c>
      <c r="AR728" t="s">
        <v>2968</v>
      </c>
      <c r="AS728" t="s">
        <v>2969</v>
      </c>
      <c r="AT728" t="s">
        <v>7937</v>
      </c>
      <c r="AU728">
        <v>2008</v>
      </c>
      <c r="AV728">
        <v>44</v>
      </c>
      <c r="AW728">
        <v>229</v>
      </c>
      <c r="AX728" t="s">
        <v>74</v>
      </c>
      <c r="AY728" t="s">
        <v>74</v>
      </c>
      <c r="AZ728" t="s">
        <v>74</v>
      </c>
      <c r="BA728" t="s">
        <v>74</v>
      </c>
      <c r="BB728">
        <v>165</v>
      </c>
      <c r="BC728">
        <v>171</v>
      </c>
      <c r="BD728" t="s">
        <v>74</v>
      </c>
      <c r="BE728" t="s">
        <v>9252</v>
      </c>
      <c r="BF728" t="str">
        <f>HYPERLINK("http://dx.doi.org/10.1017/S003224740700719X","http://dx.doi.org/10.1017/S003224740700719X")</f>
        <v>http://dx.doi.org/10.1017/S003224740700719X</v>
      </c>
      <c r="BG728" t="s">
        <v>74</v>
      </c>
      <c r="BH728" t="s">
        <v>74</v>
      </c>
      <c r="BI728">
        <v>7</v>
      </c>
      <c r="BJ728" t="s">
        <v>2971</v>
      </c>
      <c r="BK728" t="s">
        <v>419</v>
      </c>
      <c r="BL728" t="s">
        <v>2972</v>
      </c>
      <c r="BM728" t="s">
        <v>9222</v>
      </c>
      <c r="BN728" t="s">
        <v>74</v>
      </c>
      <c r="BO728" t="s">
        <v>74</v>
      </c>
      <c r="BP728" t="s">
        <v>74</v>
      </c>
      <c r="BQ728" t="s">
        <v>74</v>
      </c>
      <c r="BR728" t="s">
        <v>101</v>
      </c>
      <c r="BS728" t="s">
        <v>9253</v>
      </c>
      <c r="BT728" t="str">
        <f>HYPERLINK("https%3A%2F%2Fwww.webofscience.com%2Fwos%2Fwoscc%2Ffull-record%2FWOS:000253188200006","View Full Record in Web of Science")</f>
        <v>View Full Record in Web of Science</v>
      </c>
    </row>
    <row r="729" spans="1:72" x14ac:dyDescent="0.15">
      <c r="A729" t="s">
        <v>72</v>
      </c>
      <c r="B729" t="s">
        <v>9254</v>
      </c>
      <c r="C729" t="s">
        <v>74</v>
      </c>
      <c r="D729" t="s">
        <v>74</v>
      </c>
      <c r="E729" t="s">
        <v>74</v>
      </c>
      <c r="F729" t="s">
        <v>9255</v>
      </c>
      <c r="G729" t="s">
        <v>74</v>
      </c>
      <c r="H729" t="s">
        <v>74</v>
      </c>
      <c r="I729" t="s">
        <v>9256</v>
      </c>
      <c r="J729" t="s">
        <v>2957</v>
      </c>
      <c r="K729" t="s">
        <v>74</v>
      </c>
      <c r="L729" t="s">
        <v>74</v>
      </c>
      <c r="M729" t="s">
        <v>78</v>
      </c>
      <c r="N729" t="s">
        <v>2989</v>
      </c>
      <c r="O729" t="s">
        <v>74</v>
      </c>
      <c r="P729" t="s">
        <v>74</v>
      </c>
      <c r="Q729" t="s">
        <v>74</v>
      </c>
      <c r="R729" t="s">
        <v>74</v>
      </c>
      <c r="S729" t="s">
        <v>74</v>
      </c>
      <c r="T729" t="s">
        <v>74</v>
      </c>
      <c r="U729" t="s">
        <v>74</v>
      </c>
      <c r="V729" t="s">
        <v>9257</v>
      </c>
      <c r="W729" t="s">
        <v>9258</v>
      </c>
      <c r="X729" t="s">
        <v>9259</v>
      </c>
      <c r="Y729" t="s">
        <v>9260</v>
      </c>
      <c r="Z729" t="s">
        <v>74</v>
      </c>
      <c r="AA729" t="s">
        <v>74</v>
      </c>
      <c r="AB729" t="s">
        <v>74</v>
      </c>
      <c r="AC729" t="s">
        <v>74</v>
      </c>
      <c r="AD729" t="s">
        <v>74</v>
      </c>
      <c r="AE729" t="s">
        <v>74</v>
      </c>
      <c r="AF729" t="s">
        <v>74</v>
      </c>
      <c r="AG729">
        <v>13</v>
      </c>
      <c r="AH729">
        <v>2</v>
      </c>
      <c r="AI729">
        <v>2</v>
      </c>
      <c r="AJ729">
        <v>0</v>
      </c>
      <c r="AK729">
        <v>4</v>
      </c>
      <c r="AL729" t="s">
        <v>2964</v>
      </c>
      <c r="AM729" t="s">
        <v>2747</v>
      </c>
      <c r="AN729" t="s">
        <v>2965</v>
      </c>
      <c r="AO729" t="s">
        <v>2966</v>
      </c>
      <c r="AP729" t="s">
        <v>74</v>
      </c>
      <c r="AQ729" t="s">
        <v>74</v>
      </c>
      <c r="AR729" t="s">
        <v>2968</v>
      </c>
      <c r="AS729" t="s">
        <v>2969</v>
      </c>
      <c r="AT729" t="s">
        <v>7937</v>
      </c>
      <c r="AU729">
        <v>2008</v>
      </c>
      <c r="AV729">
        <v>44</v>
      </c>
      <c r="AW729">
        <v>229</v>
      </c>
      <c r="AX729" t="s">
        <v>74</v>
      </c>
      <c r="AY729" t="s">
        <v>74</v>
      </c>
      <c r="AZ729" t="s">
        <v>74</v>
      </c>
      <c r="BA729" t="s">
        <v>74</v>
      </c>
      <c r="BB729">
        <v>173</v>
      </c>
      <c r="BC729">
        <v>177</v>
      </c>
      <c r="BD729" t="s">
        <v>74</v>
      </c>
      <c r="BE729" t="s">
        <v>9261</v>
      </c>
      <c r="BF729" t="str">
        <f>HYPERLINK("http://dx.doi.org/10.1017/S0032247407007164","http://dx.doi.org/10.1017/S0032247407007164")</f>
        <v>http://dx.doi.org/10.1017/S0032247407007164</v>
      </c>
      <c r="BG729" t="s">
        <v>74</v>
      </c>
      <c r="BH729" t="s">
        <v>74</v>
      </c>
      <c r="BI729">
        <v>5</v>
      </c>
      <c r="BJ729" t="s">
        <v>2971</v>
      </c>
      <c r="BK729" t="s">
        <v>419</v>
      </c>
      <c r="BL729" t="s">
        <v>2972</v>
      </c>
      <c r="BM729" t="s">
        <v>9222</v>
      </c>
      <c r="BN729" t="s">
        <v>74</v>
      </c>
      <c r="BO729" t="s">
        <v>74</v>
      </c>
      <c r="BP729" t="s">
        <v>74</v>
      </c>
      <c r="BQ729" t="s">
        <v>74</v>
      </c>
      <c r="BR729" t="s">
        <v>101</v>
      </c>
      <c r="BS729" t="s">
        <v>9262</v>
      </c>
      <c r="BT729" t="str">
        <f>HYPERLINK("https%3A%2F%2Fwww.webofscience.com%2Fwos%2Fwoscc%2Ffull-record%2FWOS:000253188200007","View Full Record in Web of Science")</f>
        <v>View Full Record in Web of Science</v>
      </c>
    </row>
    <row r="730" spans="1:72" x14ac:dyDescent="0.15">
      <c r="A730" t="s">
        <v>72</v>
      </c>
      <c r="B730" t="s">
        <v>9263</v>
      </c>
      <c r="C730" t="s">
        <v>74</v>
      </c>
      <c r="D730" t="s">
        <v>74</v>
      </c>
      <c r="E730" t="s">
        <v>74</v>
      </c>
      <c r="F730" t="s">
        <v>9264</v>
      </c>
      <c r="G730" t="s">
        <v>74</v>
      </c>
      <c r="H730" t="s">
        <v>74</v>
      </c>
      <c r="I730" t="s">
        <v>9265</v>
      </c>
      <c r="J730" t="s">
        <v>2957</v>
      </c>
      <c r="K730" t="s">
        <v>74</v>
      </c>
      <c r="L730" t="s">
        <v>74</v>
      </c>
      <c r="M730" t="s">
        <v>78</v>
      </c>
      <c r="N730" t="s">
        <v>2989</v>
      </c>
      <c r="O730" t="s">
        <v>74</v>
      </c>
      <c r="P730" t="s">
        <v>74</v>
      </c>
      <c r="Q730" t="s">
        <v>74</v>
      </c>
      <c r="R730" t="s">
        <v>74</v>
      </c>
      <c r="S730" t="s">
        <v>74</v>
      </c>
      <c r="T730" t="s">
        <v>74</v>
      </c>
      <c r="U730" t="s">
        <v>74</v>
      </c>
      <c r="V730" t="s">
        <v>9266</v>
      </c>
      <c r="W730" t="s">
        <v>9267</v>
      </c>
      <c r="X730" t="s">
        <v>9268</v>
      </c>
      <c r="Y730" t="s">
        <v>9269</v>
      </c>
      <c r="Z730" t="s">
        <v>74</v>
      </c>
      <c r="AA730" t="s">
        <v>74</v>
      </c>
      <c r="AB730" t="s">
        <v>74</v>
      </c>
      <c r="AC730" t="s">
        <v>74</v>
      </c>
      <c r="AD730" t="s">
        <v>74</v>
      </c>
      <c r="AE730" t="s">
        <v>74</v>
      </c>
      <c r="AF730" t="s">
        <v>74</v>
      </c>
      <c r="AG730">
        <v>5</v>
      </c>
      <c r="AH730">
        <v>4</v>
      </c>
      <c r="AI730">
        <v>4</v>
      </c>
      <c r="AJ730">
        <v>0</v>
      </c>
      <c r="AK730">
        <v>0</v>
      </c>
      <c r="AL730" t="s">
        <v>2964</v>
      </c>
      <c r="AM730" t="s">
        <v>2747</v>
      </c>
      <c r="AN730" t="s">
        <v>2965</v>
      </c>
      <c r="AO730" t="s">
        <v>2966</v>
      </c>
      <c r="AP730" t="s">
        <v>2967</v>
      </c>
      <c r="AQ730" t="s">
        <v>74</v>
      </c>
      <c r="AR730" t="s">
        <v>2968</v>
      </c>
      <c r="AS730" t="s">
        <v>2969</v>
      </c>
      <c r="AT730" t="s">
        <v>7937</v>
      </c>
      <c r="AU730">
        <v>2008</v>
      </c>
      <c r="AV730">
        <v>44</v>
      </c>
      <c r="AW730">
        <v>229</v>
      </c>
      <c r="AX730" t="s">
        <v>74</v>
      </c>
      <c r="AY730" t="s">
        <v>74</v>
      </c>
      <c r="AZ730" t="s">
        <v>74</v>
      </c>
      <c r="BA730" t="s">
        <v>74</v>
      </c>
      <c r="BB730">
        <v>177</v>
      </c>
      <c r="BC730">
        <v>180</v>
      </c>
      <c r="BD730" t="s">
        <v>74</v>
      </c>
      <c r="BE730" t="s">
        <v>9270</v>
      </c>
      <c r="BF730" t="str">
        <f>HYPERLINK("http://dx.doi.org/10.1017/S0032247407007176","http://dx.doi.org/10.1017/S0032247407007176")</f>
        <v>http://dx.doi.org/10.1017/S0032247407007176</v>
      </c>
      <c r="BG730" t="s">
        <v>74</v>
      </c>
      <c r="BH730" t="s">
        <v>74</v>
      </c>
      <c r="BI730">
        <v>4</v>
      </c>
      <c r="BJ730" t="s">
        <v>2971</v>
      </c>
      <c r="BK730" t="s">
        <v>419</v>
      </c>
      <c r="BL730" t="s">
        <v>2972</v>
      </c>
      <c r="BM730" t="s">
        <v>9222</v>
      </c>
      <c r="BN730" t="s">
        <v>74</v>
      </c>
      <c r="BO730" t="s">
        <v>74</v>
      </c>
      <c r="BP730" t="s">
        <v>74</v>
      </c>
      <c r="BQ730" t="s">
        <v>74</v>
      </c>
      <c r="BR730" t="s">
        <v>101</v>
      </c>
      <c r="BS730" t="s">
        <v>9271</v>
      </c>
      <c r="BT730" t="str">
        <f>HYPERLINK("https%3A%2F%2Fwww.webofscience.com%2Fwos%2Fwoscc%2Ffull-record%2FWOS:000253188200008","View Full Record in Web of Science")</f>
        <v>View Full Record in Web of Science</v>
      </c>
    </row>
    <row r="731" spans="1:72" x14ac:dyDescent="0.15">
      <c r="A731" t="s">
        <v>72</v>
      </c>
      <c r="B731" t="s">
        <v>9272</v>
      </c>
      <c r="C731" t="s">
        <v>74</v>
      </c>
      <c r="D731" t="s">
        <v>74</v>
      </c>
      <c r="E731" t="s">
        <v>74</v>
      </c>
      <c r="F731" t="s">
        <v>9273</v>
      </c>
      <c r="G731" t="s">
        <v>74</v>
      </c>
      <c r="H731" t="s">
        <v>74</v>
      </c>
      <c r="I731" t="s">
        <v>9274</v>
      </c>
      <c r="J731" t="s">
        <v>9275</v>
      </c>
      <c r="K731" t="s">
        <v>74</v>
      </c>
      <c r="L731" t="s">
        <v>74</v>
      </c>
      <c r="M731" t="s">
        <v>3210</v>
      </c>
      <c r="N731" t="s">
        <v>2737</v>
      </c>
      <c r="O731" t="s">
        <v>74</v>
      </c>
      <c r="P731" t="s">
        <v>74</v>
      </c>
      <c r="Q731" t="s">
        <v>74</v>
      </c>
      <c r="R731" t="s">
        <v>74</v>
      </c>
      <c r="S731" t="s">
        <v>74</v>
      </c>
      <c r="T731" t="s">
        <v>9276</v>
      </c>
      <c r="U731" t="s">
        <v>9277</v>
      </c>
      <c r="V731" t="s">
        <v>9278</v>
      </c>
      <c r="W731" t="s">
        <v>9279</v>
      </c>
      <c r="X731" t="s">
        <v>9280</v>
      </c>
      <c r="Y731" t="s">
        <v>9281</v>
      </c>
      <c r="Z731" t="s">
        <v>9282</v>
      </c>
      <c r="AA731" t="s">
        <v>74</v>
      </c>
      <c r="AB731" t="s">
        <v>74</v>
      </c>
      <c r="AC731" t="s">
        <v>74</v>
      </c>
      <c r="AD731" t="s">
        <v>74</v>
      </c>
      <c r="AE731" t="s">
        <v>74</v>
      </c>
      <c r="AF731" t="s">
        <v>74</v>
      </c>
      <c r="AG731">
        <v>32</v>
      </c>
      <c r="AH731">
        <v>2</v>
      </c>
      <c r="AI731">
        <v>2</v>
      </c>
      <c r="AJ731">
        <v>0</v>
      </c>
      <c r="AK731">
        <v>7</v>
      </c>
      <c r="AL731" t="s">
        <v>9283</v>
      </c>
      <c r="AM731" t="s">
        <v>9284</v>
      </c>
      <c r="AN731" t="s">
        <v>9285</v>
      </c>
      <c r="AO731" t="s">
        <v>9286</v>
      </c>
      <c r="AP731" t="s">
        <v>9287</v>
      </c>
      <c r="AQ731" t="s">
        <v>74</v>
      </c>
      <c r="AR731" t="s">
        <v>9288</v>
      </c>
      <c r="AS731" t="s">
        <v>9289</v>
      </c>
      <c r="AT731" t="s">
        <v>7937</v>
      </c>
      <c r="AU731">
        <v>2008</v>
      </c>
      <c r="AV731">
        <v>43</v>
      </c>
      <c r="AW731">
        <v>1</v>
      </c>
      <c r="AX731" t="s">
        <v>74</v>
      </c>
      <c r="AY731" t="s">
        <v>74</v>
      </c>
      <c r="AZ731" t="s">
        <v>74</v>
      </c>
      <c r="BA731" t="s">
        <v>74</v>
      </c>
      <c r="BB731">
        <v>153</v>
      </c>
      <c r="BC731">
        <v>158</v>
      </c>
      <c r="BD731" t="s">
        <v>74</v>
      </c>
      <c r="BE731" t="s">
        <v>74</v>
      </c>
      <c r="BF731" t="s">
        <v>74</v>
      </c>
      <c r="BG731" t="s">
        <v>74</v>
      </c>
      <c r="BH731" t="s">
        <v>74</v>
      </c>
      <c r="BI731">
        <v>6</v>
      </c>
      <c r="BJ731" t="s">
        <v>4754</v>
      </c>
      <c r="BK731" t="s">
        <v>419</v>
      </c>
      <c r="BL731" t="s">
        <v>4754</v>
      </c>
      <c r="BM731" t="s">
        <v>9290</v>
      </c>
      <c r="BN731" t="s">
        <v>74</v>
      </c>
      <c r="BO731" t="s">
        <v>74</v>
      </c>
      <c r="BP731" t="s">
        <v>74</v>
      </c>
      <c r="BQ731" t="s">
        <v>74</v>
      </c>
      <c r="BR731" t="s">
        <v>101</v>
      </c>
      <c r="BS731" t="s">
        <v>9291</v>
      </c>
      <c r="BT731" t="str">
        <f>HYPERLINK("https%3A%2F%2Fwww.webofscience.com%2Fwos%2Fwoscc%2Ffull-record%2FWOS:000258785600016","View Full Record in Web of Science")</f>
        <v>View Full Record in Web of Science</v>
      </c>
    </row>
    <row r="732" spans="1:72" x14ac:dyDescent="0.15">
      <c r="A732" t="s">
        <v>72</v>
      </c>
      <c r="B732" t="s">
        <v>9292</v>
      </c>
      <c r="C732" t="s">
        <v>74</v>
      </c>
      <c r="D732" t="s">
        <v>74</v>
      </c>
      <c r="E732" t="s">
        <v>74</v>
      </c>
      <c r="F732" t="s">
        <v>9293</v>
      </c>
      <c r="G732" t="s">
        <v>74</v>
      </c>
      <c r="H732" t="s">
        <v>74</v>
      </c>
      <c r="I732" t="s">
        <v>9294</v>
      </c>
      <c r="J732" t="s">
        <v>9295</v>
      </c>
      <c r="K732" t="s">
        <v>74</v>
      </c>
      <c r="L732" t="s">
        <v>74</v>
      </c>
      <c r="M732" t="s">
        <v>78</v>
      </c>
      <c r="N732" t="s">
        <v>2737</v>
      </c>
      <c r="O732" t="s">
        <v>74</v>
      </c>
      <c r="P732" t="s">
        <v>74</v>
      </c>
      <c r="Q732" t="s">
        <v>74</v>
      </c>
      <c r="R732" t="s">
        <v>74</v>
      </c>
      <c r="S732" t="s">
        <v>74</v>
      </c>
      <c r="T732" t="s">
        <v>74</v>
      </c>
      <c r="U732" t="s">
        <v>74</v>
      </c>
      <c r="V732" t="s">
        <v>74</v>
      </c>
      <c r="W732" t="s">
        <v>9296</v>
      </c>
      <c r="X732" t="s">
        <v>74</v>
      </c>
      <c r="Y732" t="s">
        <v>9297</v>
      </c>
      <c r="Z732" t="s">
        <v>74</v>
      </c>
      <c r="AA732" t="s">
        <v>74</v>
      </c>
      <c r="AB732" t="s">
        <v>74</v>
      </c>
      <c r="AC732" t="s">
        <v>74</v>
      </c>
      <c r="AD732" t="s">
        <v>74</v>
      </c>
      <c r="AE732" t="s">
        <v>74</v>
      </c>
      <c r="AF732" t="s">
        <v>74</v>
      </c>
      <c r="AG732">
        <v>0</v>
      </c>
      <c r="AH732">
        <v>0</v>
      </c>
      <c r="AI732">
        <v>0</v>
      </c>
      <c r="AJ732">
        <v>0</v>
      </c>
      <c r="AK732">
        <v>0</v>
      </c>
      <c r="AL732" t="s">
        <v>9298</v>
      </c>
      <c r="AM732" t="s">
        <v>9299</v>
      </c>
      <c r="AN732" t="s">
        <v>9300</v>
      </c>
      <c r="AO732" t="s">
        <v>9301</v>
      </c>
      <c r="AP732" t="s">
        <v>74</v>
      </c>
      <c r="AQ732" t="s">
        <v>74</v>
      </c>
      <c r="AR732" t="s">
        <v>9302</v>
      </c>
      <c r="AS732" t="s">
        <v>9303</v>
      </c>
      <c r="AT732" t="s">
        <v>7937</v>
      </c>
      <c r="AU732">
        <v>2008</v>
      </c>
      <c r="AV732">
        <v>49</v>
      </c>
      <c r="AW732">
        <v>4</v>
      </c>
      <c r="AX732" t="s">
        <v>74</v>
      </c>
      <c r="AY732" t="s">
        <v>74</v>
      </c>
      <c r="AZ732" t="s">
        <v>74</v>
      </c>
      <c r="BA732" t="s">
        <v>74</v>
      </c>
      <c r="BB732">
        <v>37</v>
      </c>
      <c r="BC732" t="s">
        <v>3131</v>
      </c>
      <c r="BD732" t="s">
        <v>74</v>
      </c>
      <c r="BE732" t="s">
        <v>74</v>
      </c>
      <c r="BF732" t="s">
        <v>74</v>
      </c>
      <c r="BG732" t="s">
        <v>74</v>
      </c>
      <c r="BH732" t="s">
        <v>74</v>
      </c>
      <c r="BI732">
        <v>4</v>
      </c>
      <c r="BJ732" t="s">
        <v>9304</v>
      </c>
      <c r="BK732" t="s">
        <v>419</v>
      </c>
      <c r="BL732" t="s">
        <v>9305</v>
      </c>
      <c r="BM732" t="s">
        <v>9306</v>
      </c>
      <c r="BN732" t="s">
        <v>74</v>
      </c>
      <c r="BO732" t="s">
        <v>74</v>
      </c>
      <c r="BP732" t="s">
        <v>74</v>
      </c>
      <c r="BQ732" t="s">
        <v>74</v>
      </c>
      <c r="BR732" t="s">
        <v>101</v>
      </c>
      <c r="BS732" t="s">
        <v>9307</v>
      </c>
      <c r="BT732" t="str">
        <f>HYPERLINK("https%3A%2F%2Fwww.webofscience.com%2Fwos%2Fwoscc%2Ffull-record%2FWOS:000255350800007","View Full Record in Web of Science")</f>
        <v>View Full Record in Web of Science</v>
      </c>
    </row>
    <row r="733" spans="1:72" x14ac:dyDescent="0.15">
      <c r="A733" t="s">
        <v>72</v>
      </c>
      <c r="B733" t="s">
        <v>9308</v>
      </c>
      <c r="C733" t="s">
        <v>74</v>
      </c>
      <c r="D733" t="s">
        <v>74</v>
      </c>
      <c r="E733" t="s">
        <v>74</v>
      </c>
      <c r="F733" t="s">
        <v>9309</v>
      </c>
      <c r="G733" t="s">
        <v>74</v>
      </c>
      <c r="H733" t="s">
        <v>74</v>
      </c>
      <c r="I733" t="s">
        <v>9310</v>
      </c>
      <c r="J733" t="s">
        <v>9311</v>
      </c>
      <c r="K733" t="s">
        <v>74</v>
      </c>
      <c r="L733" t="s">
        <v>74</v>
      </c>
      <c r="M733" t="s">
        <v>78</v>
      </c>
      <c r="N733" t="s">
        <v>2737</v>
      </c>
      <c r="O733" t="s">
        <v>74</v>
      </c>
      <c r="P733" t="s">
        <v>74</v>
      </c>
      <c r="Q733" t="s">
        <v>74</v>
      </c>
      <c r="R733" t="s">
        <v>74</v>
      </c>
      <c r="S733" t="s">
        <v>74</v>
      </c>
      <c r="T733" t="s">
        <v>9312</v>
      </c>
      <c r="U733" t="s">
        <v>9313</v>
      </c>
      <c r="V733" t="s">
        <v>9314</v>
      </c>
      <c r="W733" t="s">
        <v>9315</v>
      </c>
      <c r="X733" t="s">
        <v>9316</v>
      </c>
      <c r="Y733" t="s">
        <v>9317</v>
      </c>
      <c r="Z733" t="s">
        <v>9318</v>
      </c>
      <c r="AA733" t="s">
        <v>9319</v>
      </c>
      <c r="AB733" t="s">
        <v>9320</v>
      </c>
      <c r="AC733" t="s">
        <v>9321</v>
      </c>
      <c r="AD733" t="s">
        <v>9322</v>
      </c>
      <c r="AE733" t="s">
        <v>9323</v>
      </c>
      <c r="AF733" t="s">
        <v>74</v>
      </c>
      <c r="AG733">
        <v>92</v>
      </c>
      <c r="AH733">
        <v>164</v>
      </c>
      <c r="AI733">
        <v>192</v>
      </c>
      <c r="AJ733">
        <v>1</v>
      </c>
      <c r="AK733">
        <v>121</v>
      </c>
      <c r="AL733" t="s">
        <v>6380</v>
      </c>
      <c r="AM733" t="s">
        <v>5393</v>
      </c>
      <c r="AN733" t="s">
        <v>9324</v>
      </c>
      <c r="AO733" t="s">
        <v>9325</v>
      </c>
      <c r="AP733" t="s">
        <v>9326</v>
      </c>
      <c r="AQ733" t="s">
        <v>74</v>
      </c>
      <c r="AR733" t="s">
        <v>9327</v>
      </c>
      <c r="AS733" t="s">
        <v>9328</v>
      </c>
      <c r="AT733" t="s">
        <v>7937</v>
      </c>
      <c r="AU733">
        <v>2008</v>
      </c>
      <c r="AV733">
        <v>3</v>
      </c>
      <c r="AW733">
        <v>1</v>
      </c>
      <c r="AX733" t="s">
        <v>74</v>
      </c>
      <c r="AY733" t="s">
        <v>74</v>
      </c>
      <c r="AZ733" t="s">
        <v>74</v>
      </c>
      <c r="BA733" t="s">
        <v>74</v>
      </c>
      <c r="BB733">
        <v>9</v>
      </c>
      <c r="BC733">
        <v>22</v>
      </c>
      <c r="BD733" t="s">
        <v>74</v>
      </c>
      <c r="BE733" t="s">
        <v>9329</v>
      </c>
      <c r="BF733" t="str">
        <f>HYPERLINK("http://dx.doi.org/10.1007/s11625-008-0042-4","http://dx.doi.org/10.1007/s11625-008-0042-4")</f>
        <v>http://dx.doi.org/10.1007/s11625-008-0042-4</v>
      </c>
      <c r="BG733" t="s">
        <v>74</v>
      </c>
      <c r="BH733" t="s">
        <v>74</v>
      </c>
      <c r="BI733">
        <v>14</v>
      </c>
      <c r="BJ733" t="s">
        <v>9330</v>
      </c>
      <c r="BK733" t="s">
        <v>419</v>
      </c>
      <c r="BL733" t="s">
        <v>9331</v>
      </c>
      <c r="BM733" t="s">
        <v>9332</v>
      </c>
      <c r="BN733" t="s">
        <v>74</v>
      </c>
      <c r="BO733" t="s">
        <v>4372</v>
      </c>
      <c r="BP733" t="s">
        <v>74</v>
      </c>
      <c r="BQ733" t="s">
        <v>74</v>
      </c>
      <c r="BR733" t="s">
        <v>101</v>
      </c>
      <c r="BS733" t="s">
        <v>9333</v>
      </c>
      <c r="BT733" t="str">
        <f>HYPERLINK("https%3A%2F%2Fwww.webofscience.com%2Fwos%2Fwoscc%2Ffull-record%2FWOS:000264104000003","View Full Record in Web of Science")</f>
        <v>View Full Record in Web of Science</v>
      </c>
    </row>
    <row r="734" spans="1:72" x14ac:dyDescent="0.15">
      <c r="A734" t="s">
        <v>72</v>
      </c>
      <c r="B734" t="s">
        <v>9334</v>
      </c>
      <c r="C734" t="s">
        <v>74</v>
      </c>
      <c r="D734" t="s">
        <v>74</v>
      </c>
      <c r="E734" t="s">
        <v>74</v>
      </c>
      <c r="F734" t="s">
        <v>9335</v>
      </c>
      <c r="G734" t="s">
        <v>74</v>
      </c>
      <c r="H734" t="s">
        <v>74</v>
      </c>
      <c r="I734" t="s">
        <v>9336</v>
      </c>
      <c r="J734" t="s">
        <v>9337</v>
      </c>
      <c r="K734" t="s">
        <v>74</v>
      </c>
      <c r="L734" t="s">
        <v>74</v>
      </c>
      <c r="M734" t="s">
        <v>78</v>
      </c>
      <c r="N734" t="s">
        <v>3318</v>
      </c>
      <c r="O734" t="s">
        <v>9338</v>
      </c>
      <c r="P734" t="s">
        <v>9339</v>
      </c>
      <c r="Q734" t="s">
        <v>8770</v>
      </c>
      <c r="R734" t="s">
        <v>74</v>
      </c>
      <c r="S734" t="s">
        <v>74</v>
      </c>
      <c r="T734" t="s">
        <v>9340</v>
      </c>
      <c r="U734" t="s">
        <v>9341</v>
      </c>
      <c r="V734" t="s">
        <v>9342</v>
      </c>
      <c r="W734" t="s">
        <v>9343</v>
      </c>
      <c r="X734" t="s">
        <v>9344</v>
      </c>
      <c r="Y734" t="s">
        <v>9345</v>
      </c>
      <c r="Z734" t="s">
        <v>9346</v>
      </c>
      <c r="AA734" t="s">
        <v>9347</v>
      </c>
      <c r="AB734" t="s">
        <v>9348</v>
      </c>
      <c r="AC734" t="s">
        <v>74</v>
      </c>
      <c r="AD734" t="s">
        <v>74</v>
      </c>
      <c r="AE734" t="s">
        <v>74</v>
      </c>
      <c r="AF734" t="s">
        <v>74</v>
      </c>
      <c r="AG734">
        <v>41</v>
      </c>
      <c r="AH734">
        <v>8</v>
      </c>
      <c r="AI734">
        <v>11</v>
      </c>
      <c r="AJ734">
        <v>1</v>
      </c>
      <c r="AK734">
        <v>5</v>
      </c>
      <c r="AL734" t="s">
        <v>9349</v>
      </c>
      <c r="AM734" t="s">
        <v>3197</v>
      </c>
      <c r="AN734" t="s">
        <v>9350</v>
      </c>
      <c r="AO734" t="s">
        <v>9351</v>
      </c>
      <c r="AP734" t="s">
        <v>9352</v>
      </c>
      <c r="AQ734" t="s">
        <v>74</v>
      </c>
      <c r="AR734" t="s">
        <v>9353</v>
      </c>
      <c r="AS734" t="s">
        <v>9354</v>
      </c>
      <c r="AT734" t="s">
        <v>7937</v>
      </c>
      <c r="AU734">
        <v>2008</v>
      </c>
      <c r="AV734">
        <v>19</v>
      </c>
      <c r="AW734" t="s">
        <v>5676</v>
      </c>
      <c r="AX734" t="s">
        <v>74</v>
      </c>
      <c r="AY734" t="s">
        <v>74</v>
      </c>
      <c r="AZ734" t="s">
        <v>74</v>
      </c>
      <c r="BA734" t="s">
        <v>74</v>
      </c>
      <c r="BB734">
        <v>135</v>
      </c>
      <c r="BC734">
        <v>149</v>
      </c>
      <c r="BD734" t="s">
        <v>74</v>
      </c>
      <c r="BE734" t="s">
        <v>9355</v>
      </c>
      <c r="BF734" t="str">
        <f>HYPERLINK("http://dx.doi.org/10.3319/TAO.2008.19.1-2.135(SA)","http://dx.doi.org/10.3319/TAO.2008.19.1-2.135(SA)")</f>
        <v>http://dx.doi.org/10.3319/TAO.2008.19.1-2.135(SA)</v>
      </c>
      <c r="BG734" t="s">
        <v>74</v>
      </c>
      <c r="BH734" t="s">
        <v>74</v>
      </c>
      <c r="BI734">
        <v>15</v>
      </c>
      <c r="BJ734" t="s">
        <v>9356</v>
      </c>
      <c r="BK734" t="s">
        <v>99</v>
      </c>
      <c r="BL734" t="s">
        <v>9357</v>
      </c>
      <c r="BM734" t="s">
        <v>9358</v>
      </c>
      <c r="BN734" t="s">
        <v>74</v>
      </c>
      <c r="BO734" t="s">
        <v>9359</v>
      </c>
      <c r="BP734" t="s">
        <v>74</v>
      </c>
      <c r="BQ734" t="s">
        <v>74</v>
      </c>
      <c r="BR734" t="s">
        <v>101</v>
      </c>
      <c r="BS734" t="s">
        <v>9360</v>
      </c>
      <c r="BT734" t="str">
        <f>HYPERLINK("https%3A%2F%2Fwww.webofscience.com%2Fwos%2Fwoscc%2Ffull-record%2FWOS:000255856500014","View Full Record in Web of Science")</f>
        <v>View Full Record in Web of Science</v>
      </c>
    </row>
    <row r="735" spans="1:72" x14ac:dyDescent="0.15">
      <c r="A735" t="s">
        <v>72</v>
      </c>
      <c r="B735" t="s">
        <v>9361</v>
      </c>
      <c r="C735" t="s">
        <v>74</v>
      </c>
      <c r="D735" t="s">
        <v>74</v>
      </c>
      <c r="E735" t="s">
        <v>74</v>
      </c>
      <c r="F735" t="s">
        <v>9362</v>
      </c>
      <c r="G735" t="s">
        <v>74</v>
      </c>
      <c r="H735" t="s">
        <v>74</v>
      </c>
      <c r="I735" t="s">
        <v>9363</v>
      </c>
      <c r="J735" t="s">
        <v>9364</v>
      </c>
      <c r="K735" t="s">
        <v>74</v>
      </c>
      <c r="L735" t="s">
        <v>74</v>
      </c>
      <c r="M735" t="s">
        <v>78</v>
      </c>
      <c r="N735" t="s">
        <v>2737</v>
      </c>
      <c r="O735" t="s">
        <v>74</v>
      </c>
      <c r="P735" t="s">
        <v>74</v>
      </c>
      <c r="Q735" t="s">
        <v>74</v>
      </c>
      <c r="R735" t="s">
        <v>74</v>
      </c>
      <c r="S735" t="s">
        <v>74</v>
      </c>
      <c r="T735" t="s">
        <v>9365</v>
      </c>
      <c r="U735" t="s">
        <v>9366</v>
      </c>
      <c r="V735" t="s">
        <v>9367</v>
      </c>
      <c r="W735" t="s">
        <v>9368</v>
      </c>
      <c r="X735" t="s">
        <v>9369</v>
      </c>
      <c r="Y735" t="s">
        <v>9370</v>
      </c>
      <c r="Z735" t="s">
        <v>9371</v>
      </c>
      <c r="AA735" t="s">
        <v>9372</v>
      </c>
      <c r="AB735" t="s">
        <v>9373</v>
      </c>
      <c r="AC735" t="s">
        <v>74</v>
      </c>
      <c r="AD735" t="s">
        <v>74</v>
      </c>
      <c r="AE735" t="s">
        <v>74</v>
      </c>
      <c r="AF735" t="s">
        <v>74</v>
      </c>
      <c r="AG735">
        <v>11</v>
      </c>
      <c r="AH735">
        <v>3</v>
      </c>
      <c r="AI735">
        <v>3</v>
      </c>
      <c r="AJ735">
        <v>0</v>
      </c>
      <c r="AK735">
        <v>0</v>
      </c>
      <c r="AL735" t="s">
        <v>9374</v>
      </c>
      <c r="AM735" t="s">
        <v>9375</v>
      </c>
      <c r="AN735" t="s">
        <v>9376</v>
      </c>
      <c r="AO735" t="s">
        <v>9377</v>
      </c>
      <c r="AP735" t="s">
        <v>74</v>
      </c>
      <c r="AQ735" t="s">
        <v>74</v>
      </c>
      <c r="AR735" t="s">
        <v>9364</v>
      </c>
      <c r="AS735" t="s">
        <v>9378</v>
      </c>
      <c r="AT735" t="s">
        <v>9379</v>
      </c>
      <c r="AU735">
        <v>2008</v>
      </c>
      <c r="AV735">
        <v>32</v>
      </c>
      <c r="AW735">
        <v>1</v>
      </c>
      <c r="AX735" t="s">
        <v>74</v>
      </c>
      <c r="AY735" t="s">
        <v>74</v>
      </c>
      <c r="AZ735" t="s">
        <v>74</v>
      </c>
      <c r="BA735" t="s">
        <v>74</v>
      </c>
      <c r="BB735">
        <v>43</v>
      </c>
      <c r="BC735">
        <v>50</v>
      </c>
      <c r="BD735" t="s">
        <v>74</v>
      </c>
      <c r="BE735" t="s">
        <v>74</v>
      </c>
      <c r="BF735" t="s">
        <v>74</v>
      </c>
      <c r="BG735" t="s">
        <v>74</v>
      </c>
      <c r="BH735" t="s">
        <v>74</v>
      </c>
      <c r="BI735">
        <v>8</v>
      </c>
      <c r="BJ735" t="s">
        <v>3203</v>
      </c>
      <c r="BK735" t="s">
        <v>419</v>
      </c>
      <c r="BL735" t="s">
        <v>3203</v>
      </c>
      <c r="BM735" t="s">
        <v>9380</v>
      </c>
      <c r="BN735" t="s">
        <v>74</v>
      </c>
      <c r="BO735" t="s">
        <v>74</v>
      </c>
      <c r="BP735" t="s">
        <v>74</v>
      </c>
      <c r="BQ735" t="s">
        <v>74</v>
      </c>
      <c r="BR735" t="s">
        <v>101</v>
      </c>
      <c r="BS735" t="s">
        <v>9381</v>
      </c>
      <c r="BT735" t="str">
        <f>HYPERLINK("https%3A%2F%2Fwww.webofscience.com%2Fwos%2Fwoscc%2Ffull-record%2FWOS:000256575200005","View Full Record in Web of Science")</f>
        <v>View Full Record in Web of Science</v>
      </c>
    </row>
    <row r="736" spans="1:72" x14ac:dyDescent="0.15">
      <c r="A736" t="s">
        <v>72</v>
      </c>
      <c r="B736" t="s">
        <v>9382</v>
      </c>
      <c r="C736" t="s">
        <v>74</v>
      </c>
      <c r="D736" t="s">
        <v>74</v>
      </c>
      <c r="E736" t="s">
        <v>74</v>
      </c>
      <c r="F736" t="s">
        <v>9383</v>
      </c>
      <c r="G736" t="s">
        <v>74</v>
      </c>
      <c r="H736" t="s">
        <v>74</v>
      </c>
      <c r="I736" t="s">
        <v>9384</v>
      </c>
      <c r="J736" t="s">
        <v>3924</v>
      </c>
      <c r="K736" t="s">
        <v>74</v>
      </c>
      <c r="L736" t="s">
        <v>74</v>
      </c>
      <c r="M736" t="s">
        <v>78</v>
      </c>
      <c r="N736" t="s">
        <v>2737</v>
      </c>
      <c r="O736" t="s">
        <v>74</v>
      </c>
      <c r="P736" t="s">
        <v>74</v>
      </c>
      <c r="Q736" t="s">
        <v>74</v>
      </c>
      <c r="R736" t="s">
        <v>74</v>
      </c>
      <c r="S736" t="s">
        <v>74</v>
      </c>
      <c r="T736" t="s">
        <v>9385</v>
      </c>
      <c r="U736" t="s">
        <v>9386</v>
      </c>
      <c r="V736" t="s">
        <v>9387</v>
      </c>
      <c r="W736" t="s">
        <v>9388</v>
      </c>
      <c r="X736" t="s">
        <v>2786</v>
      </c>
      <c r="Y736" t="s">
        <v>9389</v>
      </c>
      <c r="Z736" t="s">
        <v>4589</v>
      </c>
      <c r="AA736" t="s">
        <v>9390</v>
      </c>
      <c r="AB736" t="s">
        <v>9391</v>
      </c>
      <c r="AC736" t="s">
        <v>4152</v>
      </c>
      <c r="AD736" t="s">
        <v>3031</v>
      </c>
      <c r="AE736" t="s">
        <v>74</v>
      </c>
      <c r="AF736" t="s">
        <v>74</v>
      </c>
      <c r="AG736">
        <v>56</v>
      </c>
      <c r="AH736">
        <v>10</v>
      </c>
      <c r="AI736">
        <v>11</v>
      </c>
      <c r="AJ736">
        <v>0</v>
      </c>
      <c r="AK736">
        <v>13</v>
      </c>
      <c r="AL736" t="s">
        <v>3257</v>
      </c>
      <c r="AM736" t="s">
        <v>3258</v>
      </c>
      <c r="AN736" t="s">
        <v>3259</v>
      </c>
      <c r="AO736" t="s">
        <v>3935</v>
      </c>
      <c r="AP736" t="s">
        <v>3936</v>
      </c>
      <c r="AQ736" t="s">
        <v>74</v>
      </c>
      <c r="AR736" t="s">
        <v>3937</v>
      </c>
      <c r="AS736" t="s">
        <v>3938</v>
      </c>
      <c r="AT736" t="s">
        <v>9379</v>
      </c>
      <c r="AU736">
        <v>2008</v>
      </c>
      <c r="AV736">
        <v>357</v>
      </c>
      <c r="AW736">
        <v>2</v>
      </c>
      <c r="AX736" t="s">
        <v>74</v>
      </c>
      <c r="AY736" t="s">
        <v>74</v>
      </c>
      <c r="AZ736" t="s">
        <v>74</v>
      </c>
      <c r="BA736" t="s">
        <v>74</v>
      </c>
      <c r="BB736">
        <v>140</v>
      </c>
      <c r="BC736">
        <v>148</v>
      </c>
      <c r="BD736" t="s">
        <v>74</v>
      </c>
      <c r="BE736" t="s">
        <v>9392</v>
      </c>
      <c r="BF736" t="str">
        <f>HYPERLINK("http://dx.doi.org/10.1016/j.jembe.2008.01.014","http://dx.doi.org/10.1016/j.jembe.2008.01.014")</f>
        <v>http://dx.doi.org/10.1016/j.jembe.2008.01.014</v>
      </c>
      <c r="BG736" t="s">
        <v>74</v>
      </c>
      <c r="BH736" t="s">
        <v>74</v>
      </c>
      <c r="BI736">
        <v>9</v>
      </c>
      <c r="BJ736" t="s">
        <v>3940</v>
      </c>
      <c r="BK736" t="s">
        <v>419</v>
      </c>
      <c r="BL736" t="s">
        <v>3941</v>
      </c>
      <c r="BM736" t="s">
        <v>9393</v>
      </c>
      <c r="BN736" t="s">
        <v>74</v>
      </c>
      <c r="BO736" t="s">
        <v>74</v>
      </c>
      <c r="BP736" t="s">
        <v>74</v>
      </c>
      <c r="BQ736" t="s">
        <v>74</v>
      </c>
      <c r="BR736" t="s">
        <v>101</v>
      </c>
      <c r="BS736" t="s">
        <v>9394</v>
      </c>
      <c r="BT736" t="str">
        <f>HYPERLINK("https%3A%2F%2Fwww.webofscience.com%2Fwos%2Fwoscc%2Ffull-record%2FWOS:000254846300006","View Full Record in Web of Science")</f>
        <v>View Full Record in Web of Science</v>
      </c>
    </row>
    <row r="737" spans="1:72" x14ac:dyDescent="0.15">
      <c r="A737" t="s">
        <v>72</v>
      </c>
      <c r="B737" t="s">
        <v>9395</v>
      </c>
      <c r="C737" t="s">
        <v>74</v>
      </c>
      <c r="D737" t="s">
        <v>74</v>
      </c>
      <c r="E737" t="s">
        <v>74</v>
      </c>
      <c r="F737" t="s">
        <v>9396</v>
      </c>
      <c r="G737" t="s">
        <v>74</v>
      </c>
      <c r="H737" t="s">
        <v>74</v>
      </c>
      <c r="I737" t="s">
        <v>9397</v>
      </c>
      <c r="J737" t="s">
        <v>3295</v>
      </c>
      <c r="K737" t="s">
        <v>74</v>
      </c>
      <c r="L737" t="s">
        <v>74</v>
      </c>
      <c r="M737" t="s">
        <v>78</v>
      </c>
      <c r="N737" t="s">
        <v>2737</v>
      </c>
      <c r="O737" t="s">
        <v>74</v>
      </c>
      <c r="P737" t="s">
        <v>74</v>
      </c>
      <c r="Q737" t="s">
        <v>74</v>
      </c>
      <c r="R737" t="s">
        <v>74</v>
      </c>
      <c r="S737" t="s">
        <v>74</v>
      </c>
      <c r="T737" t="s">
        <v>74</v>
      </c>
      <c r="U737" t="s">
        <v>9398</v>
      </c>
      <c r="V737" t="s">
        <v>9399</v>
      </c>
      <c r="W737" t="s">
        <v>9400</v>
      </c>
      <c r="X737" t="s">
        <v>9401</v>
      </c>
      <c r="Y737" t="s">
        <v>9402</v>
      </c>
      <c r="Z737" t="s">
        <v>74</v>
      </c>
      <c r="AA737" t="s">
        <v>74</v>
      </c>
      <c r="AB737" t="s">
        <v>9403</v>
      </c>
      <c r="AC737" t="s">
        <v>74</v>
      </c>
      <c r="AD737" t="s">
        <v>74</v>
      </c>
      <c r="AE737" t="s">
        <v>74</v>
      </c>
      <c r="AF737" t="s">
        <v>74</v>
      </c>
      <c r="AG737">
        <v>17</v>
      </c>
      <c r="AH737">
        <v>7</v>
      </c>
      <c r="AI737">
        <v>7</v>
      </c>
      <c r="AJ737">
        <v>0</v>
      </c>
      <c r="AK737">
        <v>0</v>
      </c>
      <c r="AL737" t="s">
        <v>3280</v>
      </c>
      <c r="AM737" t="s">
        <v>3281</v>
      </c>
      <c r="AN737" t="s">
        <v>3282</v>
      </c>
      <c r="AO737" t="s">
        <v>3304</v>
      </c>
      <c r="AP737" t="s">
        <v>3305</v>
      </c>
      <c r="AQ737" t="s">
        <v>74</v>
      </c>
      <c r="AR737" t="s">
        <v>3306</v>
      </c>
      <c r="AS737" t="s">
        <v>3307</v>
      </c>
      <c r="AT737" t="s">
        <v>9404</v>
      </c>
      <c r="AU737">
        <v>2008</v>
      </c>
      <c r="AV737">
        <v>35</v>
      </c>
      <c r="AW737">
        <v>6</v>
      </c>
      <c r="AX737" t="s">
        <v>74</v>
      </c>
      <c r="AY737" t="s">
        <v>74</v>
      </c>
      <c r="AZ737" t="s">
        <v>74</v>
      </c>
      <c r="BA737" t="s">
        <v>74</v>
      </c>
      <c r="BB737" t="s">
        <v>74</v>
      </c>
      <c r="BC737" t="s">
        <v>74</v>
      </c>
      <c r="BD737" t="s">
        <v>9405</v>
      </c>
      <c r="BE737" t="s">
        <v>9406</v>
      </c>
      <c r="BF737" t="str">
        <f>HYPERLINK("http://dx.doi.org/10.1029/2007GL032829","http://dx.doi.org/10.1029/2007GL032829")</f>
        <v>http://dx.doi.org/10.1029/2007GL032829</v>
      </c>
      <c r="BG737" t="s">
        <v>74</v>
      </c>
      <c r="BH737" t="s">
        <v>74</v>
      </c>
      <c r="BI737">
        <v>5</v>
      </c>
      <c r="BJ737" t="s">
        <v>3093</v>
      </c>
      <c r="BK737" t="s">
        <v>419</v>
      </c>
      <c r="BL737" t="s">
        <v>3094</v>
      </c>
      <c r="BM737" t="s">
        <v>9407</v>
      </c>
      <c r="BN737" t="s">
        <v>74</v>
      </c>
      <c r="BO737" t="s">
        <v>3290</v>
      </c>
      <c r="BP737" t="s">
        <v>74</v>
      </c>
      <c r="BQ737" t="s">
        <v>74</v>
      </c>
      <c r="BR737" t="s">
        <v>101</v>
      </c>
      <c r="BS737" t="s">
        <v>9408</v>
      </c>
      <c r="BT737" t="str">
        <f>HYPERLINK("https%3A%2F%2Fwww.webofscience.com%2Fwos%2Fwoscc%2Ffull-record%2FWOS:000254532000001","View Full Record in Web of Science")</f>
        <v>View Full Record in Web of Science</v>
      </c>
    </row>
    <row r="738" spans="1:72" x14ac:dyDescent="0.15">
      <c r="A738" t="s">
        <v>72</v>
      </c>
      <c r="B738" t="s">
        <v>9409</v>
      </c>
      <c r="C738" t="s">
        <v>74</v>
      </c>
      <c r="D738" t="s">
        <v>74</v>
      </c>
      <c r="E738" t="s">
        <v>74</v>
      </c>
      <c r="F738" t="s">
        <v>9410</v>
      </c>
      <c r="G738" t="s">
        <v>74</v>
      </c>
      <c r="H738" t="s">
        <v>74</v>
      </c>
      <c r="I738" t="s">
        <v>9411</v>
      </c>
      <c r="J738" t="s">
        <v>9412</v>
      </c>
      <c r="K738" t="s">
        <v>74</v>
      </c>
      <c r="L738" t="s">
        <v>74</v>
      </c>
      <c r="M738" t="s">
        <v>78</v>
      </c>
      <c r="N738" t="s">
        <v>2737</v>
      </c>
      <c r="O738" t="s">
        <v>74</v>
      </c>
      <c r="P738" t="s">
        <v>74</v>
      </c>
      <c r="Q738" t="s">
        <v>74</v>
      </c>
      <c r="R738" t="s">
        <v>74</v>
      </c>
      <c r="S738" t="s">
        <v>74</v>
      </c>
      <c r="T738" t="s">
        <v>74</v>
      </c>
      <c r="U738" t="s">
        <v>9413</v>
      </c>
      <c r="V738" t="s">
        <v>9414</v>
      </c>
      <c r="W738" t="s">
        <v>9415</v>
      </c>
      <c r="X738" t="s">
        <v>9416</v>
      </c>
      <c r="Y738" t="s">
        <v>9417</v>
      </c>
      <c r="Z738" t="s">
        <v>9418</v>
      </c>
      <c r="AA738" t="s">
        <v>74</v>
      </c>
      <c r="AB738" t="s">
        <v>9419</v>
      </c>
      <c r="AC738" t="s">
        <v>74</v>
      </c>
      <c r="AD738" t="s">
        <v>74</v>
      </c>
      <c r="AE738" t="s">
        <v>74</v>
      </c>
      <c r="AF738" t="s">
        <v>74</v>
      </c>
      <c r="AG738">
        <v>56</v>
      </c>
      <c r="AH738">
        <v>52</v>
      </c>
      <c r="AI738">
        <v>61</v>
      </c>
      <c r="AJ738">
        <v>2</v>
      </c>
      <c r="AK738">
        <v>23</v>
      </c>
      <c r="AL738" t="s">
        <v>5452</v>
      </c>
      <c r="AM738" t="s">
        <v>3550</v>
      </c>
      <c r="AN738" t="s">
        <v>5453</v>
      </c>
      <c r="AO738" t="s">
        <v>9420</v>
      </c>
      <c r="AP738" t="s">
        <v>74</v>
      </c>
      <c r="AQ738" t="s">
        <v>74</v>
      </c>
      <c r="AR738" t="s">
        <v>9421</v>
      </c>
      <c r="AS738" t="s">
        <v>9422</v>
      </c>
      <c r="AT738" t="s">
        <v>9423</v>
      </c>
      <c r="AU738">
        <v>2008</v>
      </c>
      <c r="AV738">
        <v>8</v>
      </c>
      <c r="AW738" t="s">
        <v>74</v>
      </c>
      <c r="AX738" t="s">
        <v>74</v>
      </c>
      <c r="AY738" t="s">
        <v>74</v>
      </c>
      <c r="AZ738" t="s">
        <v>74</v>
      </c>
      <c r="BA738" t="s">
        <v>74</v>
      </c>
      <c r="BB738" t="s">
        <v>74</v>
      </c>
      <c r="BC738" t="s">
        <v>74</v>
      </c>
      <c r="BD738">
        <v>50</v>
      </c>
      <c r="BE738" t="s">
        <v>9424</v>
      </c>
      <c r="BF738" t="str">
        <f>HYPERLINK("http://dx.doi.org/10.1186/1471-2180-8-50","http://dx.doi.org/10.1186/1471-2180-8-50")</f>
        <v>http://dx.doi.org/10.1186/1471-2180-8-50</v>
      </c>
      <c r="BG738" t="s">
        <v>74</v>
      </c>
      <c r="BH738" t="s">
        <v>74</v>
      </c>
      <c r="BI738">
        <v>13</v>
      </c>
      <c r="BJ738" t="s">
        <v>4689</v>
      </c>
      <c r="BK738" t="s">
        <v>419</v>
      </c>
      <c r="BL738" t="s">
        <v>4689</v>
      </c>
      <c r="BM738" t="s">
        <v>9425</v>
      </c>
      <c r="BN738">
        <v>18366740</v>
      </c>
      <c r="BO738" t="s">
        <v>3636</v>
      </c>
      <c r="BP738" t="s">
        <v>74</v>
      </c>
      <c r="BQ738" t="s">
        <v>74</v>
      </c>
      <c r="BR738" t="s">
        <v>101</v>
      </c>
      <c r="BS738" t="s">
        <v>9426</v>
      </c>
      <c r="BT738" t="str">
        <f>HYPERLINK("https%3A%2F%2Fwww.webofscience.com%2Fwos%2Fwoscc%2Ffull-record%2FWOS:000255650100001","View Full Record in Web of Science")</f>
        <v>View Full Record in Web of Science</v>
      </c>
    </row>
    <row r="739" spans="1:72" x14ac:dyDescent="0.15">
      <c r="A739" t="s">
        <v>72</v>
      </c>
      <c r="B739" t="s">
        <v>9427</v>
      </c>
      <c r="C739" t="s">
        <v>74</v>
      </c>
      <c r="D739" t="s">
        <v>74</v>
      </c>
      <c r="E739" t="s">
        <v>74</v>
      </c>
      <c r="F739" t="s">
        <v>9428</v>
      </c>
      <c r="G739" t="s">
        <v>74</v>
      </c>
      <c r="H739" t="s">
        <v>74</v>
      </c>
      <c r="I739" t="s">
        <v>9429</v>
      </c>
      <c r="J739" t="s">
        <v>9430</v>
      </c>
      <c r="K739" t="s">
        <v>74</v>
      </c>
      <c r="L739" t="s">
        <v>74</v>
      </c>
      <c r="M739" t="s">
        <v>78</v>
      </c>
      <c r="N739" t="s">
        <v>2989</v>
      </c>
      <c r="O739" t="s">
        <v>74</v>
      </c>
      <c r="P739" t="s">
        <v>74</v>
      </c>
      <c r="Q739" t="s">
        <v>74</v>
      </c>
      <c r="R739" t="s">
        <v>74</v>
      </c>
      <c r="S739" t="s">
        <v>74</v>
      </c>
      <c r="T739" t="s">
        <v>74</v>
      </c>
      <c r="U739" t="s">
        <v>9431</v>
      </c>
      <c r="V739" t="s">
        <v>74</v>
      </c>
      <c r="W739" t="s">
        <v>9432</v>
      </c>
      <c r="X739" t="s">
        <v>5058</v>
      </c>
      <c r="Y739" t="s">
        <v>9433</v>
      </c>
      <c r="Z739" t="s">
        <v>9434</v>
      </c>
      <c r="AA739" t="s">
        <v>9435</v>
      </c>
      <c r="AB739" t="s">
        <v>9436</v>
      </c>
      <c r="AC739" t="s">
        <v>74</v>
      </c>
      <c r="AD739" t="s">
        <v>74</v>
      </c>
      <c r="AE739" t="s">
        <v>74</v>
      </c>
      <c r="AF739" t="s">
        <v>74</v>
      </c>
      <c r="AG739">
        <v>20</v>
      </c>
      <c r="AH739">
        <v>16</v>
      </c>
      <c r="AI739">
        <v>19</v>
      </c>
      <c r="AJ739">
        <v>0</v>
      </c>
      <c r="AK739">
        <v>7</v>
      </c>
      <c r="AL739" t="s">
        <v>9437</v>
      </c>
      <c r="AM739" t="s">
        <v>4364</v>
      </c>
      <c r="AN739" t="s">
        <v>9438</v>
      </c>
      <c r="AO739" t="s">
        <v>9439</v>
      </c>
      <c r="AP739" t="s">
        <v>9440</v>
      </c>
      <c r="AQ739" t="s">
        <v>74</v>
      </c>
      <c r="AR739" t="s">
        <v>9441</v>
      </c>
      <c r="AS739" t="s">
        <v>9442</v>
      </c>
      <c r="AT739" t="s">
        <v>9423</v>
      </c>
      <c r="AU739">
        <v>2008</v>
      </c>
      <c r="AV739">
        <v>18</v>
      </c>
      <c r="AW739">
        <v>6</v>
      </c>
      <c r="AX739" t="s">
        <v>74</v>
      </c>
      <c r="AY739" t="s">
        <v>74</v>
      </c>
      <c r="AZ739" t="s">
        <v>74</v>
      </c>
      <c r="BA739" t="s">
        <v>74</v>
      </c>
      <c r="BB739" t="s">
        <v>9443</v>
      </c>
      <c r="BC739" t="s">
        <v>9444</v>
      </c>
      <c r="BD739" t="s">
        <v>74</v>
      </c>
      <c r="BE739" t="s">
        <v>9445</v>
      </c>
      <c r="BF739" t="str">
        <f>HYPERLINK("http://dx.doi.org/10.1016/j.cub.2008.01.022","http://dx.doi.org/10.1016/j.cub.2008.01.022")</f>
        <v>http://dx.doi.org/10.1016/j.cub.2008.01.022</v>
      </c>
      <c r="BG739" t="s">
        <v>74</v>
      </c>
      <c r="BH739" t="s">
        <v>74</v>
      </c>
      <c r="BI739">
        <v>3</v>
      </c>
      <c r="BJ739" t="s">
        <v>8505</v>
      </c>
      <c r="BK739" t="s">
        <v>419</v>
      </c>
      <c r="BL739" t="s">
        <v>8506</v>
      </c>
      <c r="BM739" t="s">
        <v>9446</v>
      </c>
      <c r="BN739">
        <v>18364229</v>
      </c>
      <c r="BO739" t="s">
        <v>4667</v>
      </c>
      <c r="BP739" t="s">
        <v>74</v>
      </c>
      <c r="BQ739" t="s">
        <v>74</v>
      </c>
      <c r="BR739" t="s">
        <v>101</v>
      </c>
      <c r="BS739" t="s">
        <v>9447</v>
      </c>
      <c r="BT739" t="str">
        <f>HYPERLINK("https%3A%2F%2Fwww.webofscience.com%2Fwos%2Fwoscc%2Ffull-record%2FWOS:000254503300016","View Full Record in Web of Science")</f>
        <v>View Full Record in Web of Science</v>
      </c>
    </row>
    <row r="740" spans="1:72" x14ac:dyDescent="0.15">
      <c r="A740" t="s">
        <v>72</v>
      </c>
      <c r="B740" t="s">
        <v>9448</v>
      </c>
      <c r="C740" t="s">
        <v>74</v>
      </c>
      <c r="D740" t="s">
        <v>74</v>
      </c>
      <c r="E740" t="s">
        <v>74</v>
      </c>
      <c r="F740" t="s">
        <v>9449</v>
      </c>
      <c r="G740" t="s">
        <v>74</v>
      </c>
      <c r="H740" t="s">
        <v>74</v>
      </c>
      <c r="I740" t="s">
        <v>9450</v>
      </c>
      <c r="J740" t="s">
        <v>7555</v>
      </c>
      <c r="K740" t="s">
        <v>74</v>
      </c>
      <c r="L740" t="s">
        <v>74</v>
      </c>
      <c r="M740" t="s">
        <v>78</v>
      </c>
      <c r="N740" t="s">
        <v>3318</v>
      </c>
      <c r="O740" t="s">
        <v>9451</v>
      </c>
      <c r="P740" t="s">
        <v>9452</v>
      </c>
      <c r="Q740" t="s">
        <v>9453</v>
      </c>
      <c r="R740" t="s">
        <v>74</v>
      </c>
      <c r="S740" t="s">
        <v>74</v>
      </c>
      <c r="T740" t="s">
        <v>9454</v>
      </c>
      <c r="U740" t="s">
        <v>9455</v>
      </c>
      <c r="V740" t="s">
        <v>9456</v>
      </c>
      <c r="W740" t="s">
        <v>9457</v>
      </c>
      <c r="X740" t="s">
        <v>9458</v>
      </c>
      <c r="Y740" t="s">
        <v>9459</v>
      </c>
      <c r="Z740" t="s">
        <v>9460</v>
      </c>
      <c r="AA740" t="s">
        <v>9461</v>
      </c>
      <c r="AB740" t="s">
        <v>9462</v>
      </c>
      <c r="AC740" t="s">
        <v>9463</v>
      </c>
      <c r="AD740" t="s">
        <v>3031</v>
      </c>
      <c r="AE740" t="s">
        <v>74</v>
      </c>
      <c r="AF740" t="s">
        <v>74</v>
      </c>
      <c r="AG740">
        <v>83</v>
      </c>
      <c r="AH740">
        <v>29</v>
      </c>
      <c r="AI740">
        <v>32</v>
      </c>
      <c r="AJ740">
        <v>0</v>
      </c>
      <c r="AK740">
        <v>21</v>
      </c>
      <c r="AL740" t="s">
        <v>3933</v>
      </c>
      <c r="AM740" t="s">
        <v>3258</v>
      </c>
      <c r="AN740" t="s">
        <v>3934</v>
      </c>
      <c r="AO740" t="s">
        <v>7563</v>
      </c>
      <c r="AP740" t="s">
        <v>7564</v>
      </c>
      <c r="AQ740" t="s">
        <v>74</v>
      </c>
      <c r="AR740" t="s">
        <v>7565</v>
      </c>
      <c r="AS740" t="s">
        <v>7566</v>
      </c>
      <c r="AT740" t="s">
        <v>9464</v>
      </c>
      <c r="AU740">
        <v>2008</v>
      </c>
      <c r="AV740">
        <v>259</v>
      </c>
      <c r="AW740" t="s">
        <v>4709</v>
      </c>
      <c r="AX740" t="s">
        <v>74</v>
      </c>
      <c r="AY740" t="s">
        <v>74</v>
      </c>
      <c r="AZ740" t="s">
        <v>74</v>
      </c>
      <c r="BA740" t="s">
        <v>74</v>
      </c>
      <c r="BB740">
        <v>258</v>
      </c>
      <c r="BC740">
        <v>283</v>
      </c>
      <c r="BD740" t="s">
        <v>74</v>
      </c>
      <c r="BE740" t="s">
        <v>9465</v>
      </c>
      <c r="BF740" t="str">
        <f>HYPERLINK("http://dx.doi.org/10.1016/j.palaeo.2007.10.010","http://dx.doi.org/10.1016/j.palaeo.2007.10.010")</f>
        <v>http://dx.doi.org/10.1016/j.palaeo.2007.10.010</v>
      </c>
      <c r="BG740" t="s">
        <v>74</v>
      </c>
      <c r="BH740" t="s">
        <v>74</v>
      </c>
      <c r="BI740">
        <v>26</v>
      </c>
      <c r="BJ740" t="s">
        <v>7569</v>
      </c>
      <c r="BK740" t="s">
        <v>99</v>
      </c>
      <c r="BL740" t="s">
        <v>7570</v>
      </c>
      <c r="BM740" t="s">
        <v>9466</v>
      </c>
      <c r="BN740" t="s">
        <v>74</v>
      </c>
      <c r="BO740" t="s">
        <v>3033</v>
      </c>
      <c r="BP740" t="s">
        <v>74</v>
      </c>
      <c r="BQ740" t="s">
        <v>74</v>
      </c>
      <c r="BR740" t="s">
        <v>101</v>
      </c>
      <c r="BS740" t="s">
        <v>9467</v>
      </c>
      <c r="BT740" t="str">
        <f>HYPERLINK("https%3A%2F%2Fwww.webofscience.com%2Fwos%2Fwoscc%2Ffull-record%2FWOS:000254695400012","View Full Record in Web of Science")</f>
        <v>View Full Record in Web of Science</v>
      </c>
    </row>
    <row r="741" spans="1:72" x14ac:dyDescent="0.15">
      <c r="A741" t="s">
        <v>72</v>
      </c>
      <c r="B741" t="s">
        <v>9468</v>
      </c>
      <c r="C741" t="s">
        <v>74</v>
      </c>
      <c r="D741" t="s">
        <v>74</v>
      </c>
      <c r="E741" t="s">
        <v>74</v>
      </c>
      <c r="F741" t="s">
        <v>9469</v>
      </c>
      <c r="G741" t="s">
        <v>74</v>
      </c>
      <c r="H741" t="s">
        <v>74</v>
      </c>
      <c r="I741" t="s">
        <v>9470</v>
      </c>
      <c r="J741" t="s">
        <v>9471</v>
      </c>
      <c r="K741" t="s">
        <v>74</v>
      </c>
      <c r="L741" t="s">
        <v>74</v>
      </c>
      <c r="M741" t="s">
        <v>78</v>
      </c>
      <c r="N741" t="s">
        <v>2737</v>
      </c>
      <c r="O741" t="s">
        <v>74</v>
      </c>
      <c r="P741" t="s">
        <v>74</v>
      </c>
      <c r="Q741" t="s">
        <v>74</v>
      </c>
      <c r="R741" t="s">
        <v>74</v>
      </c>
      <c r="S741" t="s">
        <v>74</v>
      </c>
      <c r="T741" t="s">
        <v>9472</v>
      </c>
      <c r="U741" t="s">
        <v>9473</v>
      </c>
      <c r="V741" t="s">
        <v>9474</v>
      </c>
      <c r="W741" t="s">
        <v>9475</v>
      </c>
      <c r="X741" t="s">
        <v>9476</v>
      </c>
      <c r="Y741" t="s">
        <v>9477</v>
      </c>
      <c r="Z741" t="s">
        <v>9478</v>
      </c>
      <c r="AA741" t="s">
        <v>9479</v>
      </c>
      <c r="AB741" t="s">
        <v>74</v>
      </c>
      <c r="AC741" t="s">
        <v>74</v>
      </c>
      <c r="AD741" t="s">
        <v>74</v>
      </c>
      <c r="AE741" t="s">
        <v>74</v>
      </c>
      <c r="AF741" t="s">
        <v>74</v>
      </c>
      <c r="AG741">
        <v>56</v>
      </c>
      <c r="AH741">
        <v>94</v>
      </c>
      <c r="AI741">
        <v>102</v>
      </c>
      <c r="AJ741">
        <v>0</v>
      </c>
      <c r="AK741">
        <v>56</v>
      </c>
      <c r="AL741" t="s">
        <v>9480</v>
      </c>
      <c r="AM741" t="s">
        <v>3550</v>
      </c>
      <c r="AN741" t="s">
        <v>9481</v>
      </c>
      <c r="AO741" t="s">
        <v>9482</v>
      </c>
      <c r="AP741" t="s">
        <v>74</v>
      </c>
      <c r="AQ741" t="s">
        <v>74</v>
      </c>
      <c r="AR741" t="s">
        <v>9483</v>
      </c>
      <c r="AS741" t="s">
        <v>9484</v>
      </c>
      <c r="AT741" t="s">
        <v>9485</v>
      </c>
      <c r="AU741">
        <v>2008</v>
      </c>
      <c r="AV741">
        <v>275</v>
      </c>
      <c r="AW741">
        <v>1635</v>
      </c>
      <c r="AX741" t="s">
        <v>74</v>
      </c>
      <c r="AY741" t="s">
        <v>74</v>
      </c>
      <c r="AZ741" t="s">
        <v>74</v>
      </c>
      <c r="BA741" t="s">
        <v>74</v>
      </c>
      <c r="BB741">
        <v>605</v>
      </c>
      <c r="BC741">
        <v>612</v>
      </c>
      <c r="BD741" t="s">
        <v>74</v>
      </c>
      <c r="BE741" t="s">
        <v>9486</v>
      </c>
      <c r="BF741" t="str">
        <f>HYPERLINK("http://dx.doi.org/10.1098/rspb.2007.0916","http://dx.doi.org/10.1098/rspb.2007.0916")</f>
        <v>http://dx.doi.org/10.1098/rspb.2007.0916</v>
      </c>
      <c r="BG741" t="s">
        <v>74</v>
      </c>
      <c r="BH741" t="s">
        <v>74</v>
      </c>
      <c r="BI741">
        <v>8</v>
      </c>
      <c r="BJ741" t="s">
        <v>9487</v>
      </c>
      <c r="BK741" t="s">
        <v>419</v>
      </c>
      <c r="BL741" t="s">
        <v>9488</v>
      </c>
      <c r="BM741" t="s">
        <v>9489</v>
      </c>
      <c r="BN741">
        <v>18211882</v>
      </c>
      <c r="BO741" t="s">
        <v>3311</v>
      </c>
      <c r="BP741" t="s">
        <v>74</v>
      </c>
      <c r="BQ741" t="s">
        <v>74</v>
      </c>
      <c r="BR741" t="s">
        <v>101</v>
      </c>
      <c r="BS741" t="s">
        <v>9490</v>
      </c>
      <c r="BT741" t="str">
        <f>HYPERLINK("https%3A%2F%2Fwww.webofscience.com%2Fwos%2Fwoscc%2Ffull-record%2FWOS:000252764900003","View Full Record in Web of Science")</f>
        <v>View Full Record in Web of Science</v>
      </c>
    </row>
    <row r="742" spans="1:72" x14ac:dyDescent="0.15">
      <c r="A742" t="s">
        <v>72</v>
      </c>
      <c r="B742" t="s">
        <v>9491</v>
      </c>
      <c r="C742" t="s">
        <v>74</v>
      </c>
      <c r="D742" t="s">
        <v>74</v>
      </c>
      <c r="E742" t="s">
        <v>74</v>
      </c>
      <c r="F742" t="s">
        <v>9492</v>
      </c>
      <c r="G742" t="s">
        <v>74</v>
      </c>
      <c r="H742" t="s">
        <v>74</v>
      </c>
      <c r="I742" t="s">
        <v>9493</v>
      </c>
      <c r="J742" t="s">
        <v>9494</v>
      </c>
      <c r="K742" t="s">
        <v>74</v>
      </c>
      <c r="L742" t="s">
        <v>74</v>
      </c>
      <c r="M742" t="s">
        <v>78</v>
      </c>
      <c r="N742" t="s">
        <v>3318</v>
      </c>
      <c r="O742" t="s">
        <v>9495</v>
      </c>
      <c r="P742" t="s">
        <v>9496</v>
      </c>
      <c r="Q742" t="s">
        <v>9497</v>
      </c>
      <c r="R742" t="s">
        <v>74</v>
      </c>
      <c r="S742" t="s">
        <v>74</v>
      </c>
      <c r="T742" t="s">
        <v>9498</v>
      </c>
      <c r="U742" t="s">
        <v>74</v>
      </c>
      <c r="V742" t="s">
        <v>9499</v>
      </c>
      <c r="W742" t="s">
        <v>9500</v>
      </c>
      <c r="X742" t="s">
        <v>74</v>
      </c>
      <c r="Y742" t="s">
        <v>9501</v>
      </c>
      <c r="Z742" t="s">
        <v>9502</v>
      </c>
      <c r="AA742" t="s">
        <v>74</v>
      </c>
      <c r="AB742" t="s">
        <v>74</v>
      </c>
      <c r="AC742" t="s">
        <v>74</v>
      </c>
      <c r="AD742" t="s">
        <v>74</v>
      </c>
      <c r="AE742" t="s">
        <v>74</v>
      </c>
      <c r="AF742" t="s">
        <v>74</v>
      </c>
      <c r="AG742">
        <v>28</v>
      </c>
      <c r="AH742">
        <v>4</v>
      </c>
      <c r="AI742">
        <v>8</v>
      </c>
      <c r="AJ742">
        <v>0</v>
      </c>
      <c r="AK742">
        <v>3</v>
      </c>
      <c r="AL742" t="s">
        <v>9503</v>
      </c>
      <c r="AM742" t="s">
        <v>9504</v>
      </c>
      <c r="AN742" t="s">
        <v>9505</v>
      </c>
      <c r="AO742" t="s">
        <v>9506</v>
      </c>
      <c r="AP742" t="s">
        <v>9507</v>
      </c>
      <c r="AQ742" t="s">
        <v>74</v>
      </c>
      <c r="AR742" t="s">
        <v>9508</v>
      </c>
      <c r="AS742" t="s">
        <v>9509</v>
      </c>
      <c r="AT742" t="s">
        <v>9510</v>
      </c>
      <c r="AU742">
        <v>2008</v>
      </c>
      <c r="AV742">
        <v>24</v>
      </c>
      <c r="AW742" t="s">
        <v>5676</v>
      </c>
      <c r="AX742" t="s">
        <v>74</v>
      </c>
      <c r="AY742" t="s">
        <v>74</v>
      </c>
      <c r="AZ742" t="s">
        <v>74</v>
      </c>
      <c r="BA742" t="s">
        <v>74</v>
      </c>
      <c r="BB742">
        <v>71</v>
      </c>
      <c r="BC742">
        <v>77</v>
      </c>
      <c r="BD742" t="s">
        <v>74</v>
      </c>
      <c r="BE742" t="s">
        <v>9511</v>
      </c>
      <c r="BF742" t="str">
        <f>HYPERLINK("http://dx.doi.org/10.4003/0740-2783-24.1.71","http://dx.doi.org/10.4003/0740-2783-24.1.71")</f>
        <v>http://dx.doi.org/10.4003/0740-2783-24.1.71</v>
      </c>
      <c r="BG742" t="s">
        <v>74</v>
      </c>
      <c r="BH742" t="s">
        <v>74</v>
      </c>
      <c r="BI742">
        <v>7</v>
      </c>
      <c r="BJ742" t="s">
        <v>3488</v>
      </c>
      <c r="BK742" t="s">
        <v>99</v>
      </c>
      <c r="BL742" t="s">
        <v>3488</v>
      </c>
      <c r="BM742" t="s">
        <v>9512</v>
      </c>
      <c r="BN742" t="s">
        <v>74</v>
      </c>
      <c r="BO742" t="s">
        <v>3110</v>
      </c>
      <c r="BP742" t="s">
        <v>74</v>
      </c>
      <c r="BQ742" t="s">
        <v>74</v>
      </c>
      <c r="BR742" t="s">
        <v>101</v>
      </c>
      <c r="BS742" t="s">
        <v>9513</v>
      </c>
      <c r="BT742" t="str">
        <f>HYPERLINK("https%3A%2F%2Fwww.webofscience.com%2Fwos%2Fwoscc%2Ffull-record%2FWOS:000254870200010","View Full Record in Web of Science")</f>
        <v>View Full Record in Web of Science</v>
      </c>
    </row>
    <row r="743" spans="1:72" x14ac:dyDescent="0.15">
      <c r="A743" t="s">
        <v>72</v>
      </c>
      <c r="B743" t="s">
        <v>9514</v>
      </c>
      <c r="C743" t="s">
        <v>74</v>
      </c>
      <c r="D743" t="s">
        <v>74</v>
      </c>
      <c r="E743" t="s">
        <v>74</v>
      </c>
      <c r="F743" t="s">
        <v>9515</v>
      </c>
      <c r="G743" t="s">
        <v>74</v>
      </c>
      <c r="H743" t="s">
        <v>74</v>
      </c>
      <c r="I743" t="s">
        <v>9516</v>
      </c>
      <c r="J743" t="s">
        <v>3270</v>
      </c>
      <c r="K743" t="s">
        <v>74</v>
      </c>
      <c r="L743" t="s">
        <v>74</v>
      </c>
      <c r="M743" t="s">
        <v>78</v>
      </c>
      <c r="N743" t="s">
        <v>2958</v>
      </c>
      <c r="O743" t="s">
        <v>74</v>
      </c>
      <c r="P743" t="s">
        <v>74</v>
      </c>
      <c r="Q743" t="s">
        <v>74</v>
      </c>
      <c r="R743" t="s">
        <v>74</v>
      </c>
      <c r="S743" t="s">
        <v>74</v>
      </c>
      <c r="T743" t="s">
        <v>74</v>
      </c>
      <c r="U743" t="s">
        <v>9517</v>
      </c>
      <c r="V743" t="s">
        <v>9518</v>
      </c>
      <c r="W743" t="s">
        <v>9519</v>
      </c>
      <c r="X743" t="s">
        <v>9520</v>
      </c>
      <c r="Y743" t="s">
        <v>9521</v>
      </c>
      <c r="Z743" t="s">
        <v>9522</v>
      </c>
      <c r="AA743" t="s">
        <v>9523</v>
      </c>
      <c r="AB743" t="s">
        <v>9524</v>
      </c>
      <c r="AC743" t="s">
        <v>74</v>
      </c>
      <c r="AD743" t="s">
        <v>74</v>
      </c>
      <c r="AE743" t="s">
        <v>74</v>
      </c>
      <c r="AF743" t="s">
        <v>74</v>
      </c>
      <c r="AG743">
        <v>152</v>
      </c>
      <c r="AH743">
        <v>77</v>
      </c>
      <c r="AI743">
        <v>83</v>
      </c>
      <c r="AJ743">
        <v>2</v>
      </c>
      <c r="AK743">
        <v>40</v>
      </c>
      <c r="AL743" t="s">
        <v>3280</v>
      </c>
      <c r="AM743" t="s">
        <v>3281</v>
      </c>
      <c r="AN743" t="s">
        <v>3282</v>
      </c>
      <c r="AO743" t="s">
        <v>3283</v>
      </c>
      <c r="AP743" t="s">
        <v>74</v>
      </c>
      <c r="AQ743" t="s">
        <v>74</v>
      </c>
      <c r="AR743" t="s">
        <v>3284</v>
      </c>
      <c r="AS743" t="s">
        <v>3285</v>
      </c>
      <c r="AT743" t="s">
        <v>9510</v>
      </c>
      <c r="AU743">
        <v>2008</v>
      </c>
      <c r="AV743">
        <v>9</v>
      </c>
      <c r="AW743" t="s">
        <v>74</v>
      </c>
      <c r="AX743" t="s">
        <v>74</v>
      </c>
      <c r="AY743" t="s">
        <v>74</v>
      </c>
      <c r="AZ743" t="s">
        <v>74</v>
      </c>
      <c r="BA743" t="s">
        <v>74</v>
      </c>
      <c r="BB743" t="s">
        <v>74</v>
      </c>
      <c r="BC743" t="s">
        <v>74</v>
      </c>
      <c r="BD743" t="s">
        <v>9525</v>
      </c>
      <c r="BE743" t="s">
        <v>9526</v>
      </c>
      <c r="BF743" t="str">
        <f>HYPERLINK("http://dx.doi.org/10.1029/2007GC001813","http://dx.doi.org/10.1029/2007GC001813")</f>
        <v>http://dx.doi.org/10.1029/2007GC001813</v>
      </c>
      <c r="BG743" t="s">
        <v>74</v>
      </c>
      <c r="BH743" t="s">
        <v>74</v>
      </c>
      <c r="BI743">
        <v>24</v>
      </c>
      <c r="BJ743" t="s">
        <v>98</v>
      </c>
      <c r="BK743" t="s">
        <v>419</v>
      </c>
      <c r="BL743" t="s">
        <v>98</v>
      </c>
      <c r="BM743" t="s">
        <v>9527</v>
      </c>
      <c r="BN743" t="s">
        <v>74</v>
      </c>
      <c r="BO743" t="s">
        <v>7117</v>
      </c>
      <c r="BP743" t="s">
        <v>74</v>
      </c>
      <c r="BQ743" t="s">
        <v>74</v>
      </c>
      <c r="BR743" t="s">
        <v>101</v>
      </c>
      <c r="BS743" t="s">
        <v>9528</v>
      </c>
      <c r="BT743" t="str">
        <f>HYPERLINK("https%3A%2F%2Fwww.webofscience.com%2Fwos%2Fwoscc%2Ffull-record%2FWOS:000254520300001","View Full Record in Web of Science")</f>
        <v>View Full Record in Web of Science</v>
      </c>
    </row>
    <row r="744" spans="1:72" x14ac:dyDescent="0.15">
      <c r="A744" t="s">
        <v>72</v>
      </c>
      <c r="B744" t="s">
        <v>9529</v>
      </c>
      <c r="C744" t="s">
        <v>74</v>
      </c>
      <c r="D744" t="s">
        <v>74</v>
      </c>
      <c r="E744" t="s">
        <v>74</v>
      </c>
      <c r="F744" t="s">
        <v>9530</v>
      </c>
      <c r="G744" t="s">
        <v>74</v>
      </c>
      <c r="H744" t="s">
        <v>74</v>
      </c>
      <c r="I744" t="s">
        <v>9531</v>
      </c>
      <c r="J744" t="s">
        <v>3494</v>
      </c>
      <c r="K744" t="s">
        <v>74</v>
      </c>
      <c r="L744" t="s">
        <v>74</v>
      </c>
      <c r="M744" t="s">
        <v>78</v>
      </c>
      <c r="N744" t="s">
        <v>9532</v>
      </c>
      <c r="O744" t="s">
        <v>74</v>
      </c>
      <c r="P744" t="s">
        <v>74</v>
      </c>
      <c r="Q744" t="s">
        <v>74</v>
      </c>
      <c r="R744" t="s">
        <v>74</v>
      </c>
      <c r="S744" t="s">
        <v>74</v>
      </c>
      <c r="T744" t="s">
        <v>74</v>
      </c>
      <c r="U744" t="s">
        <v>9533</v>
      </c>
      <c r="V744" t="s">
        <v>74</v>
      </c>
      <c r="W744" t="s">
        <v>9534</v>
      </c>
      <c r="X744" t="s">
        <v>9535</v>
      </c>
      <c r="Y744" t="s">
        <v>9536</v>
      </c>
      <c r="Z744" t="s">
        <v>74</v>
      </c>
      <c r="AA744" t="s">
        <v>9537</v>
      </c>
      <c r="AB744" t="s">
        <v>9538</v>
      </c>
      <c r="AC744" t="s">
        <v>74</v>
      </c>
      <c r="AD744" t="s">
        <v>74</v>
      </c>
      <c r="AE744" t="s">
        <v>74</v>
      </c>
      <c r="AF744" t="s">
        <v>74</v>
      </c>
      <c r="AG744">
        <v>4</v>
      </c>
      <c r="AH744">
        <v>178</v>
      </c>
      <c r="AI744">
        <v>199</v>
      </c>
      <c r="AJ744">
        <v>2</v>
      </c>
      <c r="AK744">
        <v>157</v>
      </c>
      <c r="AL744" t="s">
        <v>3499</v>
      </c>
      <c r="AM744" t="s">
        <v>3281</v>
      </c>
      <c r="AN744" t="s">
        <v>3500</v>
      </c>
      <c r="AO744" t="s">
        <v>3501</v>
      </c>
      <c r="AP744" t="s">
        <v>74</v>
      </c>
      <c r="AQ744" t="s">
        <v>74</v>
      </c>
      <c r="AR744" t="s">
        <v>3494</v>
      </c>
      <c r="AS744" t="s">
        <v>3502</v>
      </c>
      <c r="AT744" t="s">
        <v>9510</v>
      </c>
      <c r="AU744">
        <v>2008</v>
      </c>
      <c r="AV744">
        <v>319</v>
      </c>
      <c r="AW744">
        <v>5870</v>
      </c>
      <c r="AX744" t="s">
        <v>74</v>
      </c>
      <c r="AY744" t="s">
        <v>74</v>
      </c>
      <c r="AZ744" t="s">
        <v>74</v>
      </c>
      <c r="BA744" t="s">
        <v>74</v>
      </c>
      <c r="BB744">
        <v>1616</v>
      </c>
      <c r="BC744">
        <v>1616</v>
      </c>
      <c r="BD744" t="s">
        <v>74</v>
      </c>
      <c r="BE744" t="s">
        <v>74</v>
      </c>
      <c r="BF744" t="s">
        <v>74</v>
      </c>
      <c r="BG744" t="s">
        <v>74</v>
      </c>
      <c r="BH744" t="s">
        <v>74</v>
      </c>
      <c r="BI744">
        <v>1</v>
      </c>
      <c r="BJ744" t="s">
        <v>3123</v>
      </c>
      <c r="BK744" t="s">
        <v>419</v>
      </c>
      <c r="BL744" t="s">
        <v>3124</v>
      </c>
      <c r="BM744" t="s">
        <v>9539</v>
      </c>
      <c r="BN744">
        <v>18356505</v>
      </c>
      <c r="BO744" t="s">
        <v>74</v>
      </c>
      <c r="BP744" t="s">
        <v>74</v>
      </c>
      <c r="BQ744" t="s">
        <v>74</v>
      </c>
      <c r="BR744" t="s">
        <v>101</v>
      </c>
      <c r="BS744" t="s">
        <v>9540</v>
      </c>
      <c r="BT744" t="str">
        <f>HYPERLINK("https%3A%2F%2Fwww.webofscience.com%2Fwos%2Fwoscc%2Ffull-record%2FWOS:000254172300015","View Full Record in Web of Science")</f>
        <v>View Full Record in Web of Science</v>
      </c>
    </row>
    <row r="745" spans="1:72" x14ac:dyDescent="0.15">
      <c r="A745" t="s">
        <v>72</v>
      </c>
      <c r="B745" t="s">
        <v>9541</v>
      </c>
      <c r="C745" t="s">
        <v>74</v>
      </c>
      <c r="D745" t="s">
        <v>74</v>
      </c>
      <c r="E745" t="s">
        <v>74</v>
      </c>
      <c r="F745" t="s">
        <v>9542</v>
      </c>
      <c r="G745" t="s">
        <v>74</v>
      </c>
      <c r="H745" t="s">
        <v>74</v>
      </c>
      <c r="I745" t="s">
        <v>9543</v>
      </c>
      <c r="J745" t="s">
        <v>3295</v>
      </c>
      <c r="K745" t="s">
        <v>74</v>
      </c>
      <c r="L745" t="s">
        <v>74</v>
      </c>
      <c r="M745" t="s">
        <v>78</v>
      </c>
      <c r="N745" t="s">
        <v>2737</v>
      </c>
      <c r="O745" t="s">
        <v>74</v>
      </c>
      <c r="P745" t="s">
        <v>74</v>
      </c>
      <c r="Q745" t="s">
        <v>74</v>
      </c>
      <c r="R745" t="s">
        <v>74</v>
      </c>
      <c r="S745" t="s">
        <v>74</v>
      </c>
      <c r="T745" t="s">
        <v>74</v>
      </c>
      <c r="U745" t="s">
        <v>9544</v>
      </c>
      <c r="V745" t="s">
        <v>9545</v>
      </c>
      <c r="W745" t="s">
        <v>9546</v>
      </c>
      <c r="X745" t="s">
        <v>9547</v>
      </c>
      <c r="Y745" t="s">
        <v>9548</v>
      </c>
      <c r="Z745" t="s">
        <v>9549</v>
      </c>
      <c r="AA745" t="s">
        <v>74</v>
      </c>
      <c r="AB745" t="s">
        <v>74</v>
      </c>
      <c r="AC745" t="s">
        <v>74</v>
      </c>
      <c r="AD745" t="s">
        <v>74</v>
      </c>
      <c r="AE745" t="s">
        <v>74</v>
      </c>
      <c r="AF745" t="s">
        <v>74</v>
      </c>
      <c r="AG745">
        <v>11</v>
      </c>
      <c r="AH745">
        <v>43</v>
      </c>
      <c r="AI745">
        <v>44</v>
      </c>
      <c r="AJ745">
        <v>0</v>
      </c>
      <c r="AK745">
        <v>7</v>
      </c>
      <c r="AL745" t="s">
        <v>3280</v>
      </c>
      <c r="AM745" t="s">
        <v>3281</v>
      </c>
      <c r="AN745" t="s">
        <v>3282</v>
      </c>
      <c r="AO745" t="s">
        <v>3304</v>
      </c>
      <c r="AP745" t="s">
        <v>3305</v>
      </c>
      <c r="AQ745" t="s">
        <v>74</v>
      </c>
      <c r="AR745" t="s">
        <v>3306</v>
      </c>
      <c r="AS745" t="s">
        <v>3307</v>
      </c>
      <c r="AT745" t="s">
        <v>9550</v>
      </c>
      <c r="AU745">
        <v>2008</v>
      </c>
      <c r="AV745">
        <v>35</v>
      </c>
      <c r="AW745">
        <v>6</v>
      </c>
      <c r="AX745" t="s">
        <v>74</v>
      </c>
      <c r="AY745" t="s">
        <v>74</v>
      </c>
      <c r="AZ745" t="s">
        <v>74</v>
      </c>
      <c r="BA745" t="s">
        <v>74</v>
      </c>
      <c r="BB745" t="s">
        <v>74</v>
      </c>
      <c r="BC745" t="s">
        <v>74</v>
      </c>
      <c r="BD745" t="s">
        <v>9551</v>
      </c>
      <c r="BE745" t="s">
        <v>9552</v>
      </c>
      <c r="BF745" t="str">
        <f>HYPERLINK("http://dx.doi.org/10.1029/2007GL032699","http://dx.doi.org/10.1029/2007GL032699")</f>
        <v>http://dx.doi.org/10.1029/2007GL032699</v>
      </c>
      <c r="BG745" t="s">
        <v>74</v>
      </c>
      <c r="BH745" t="s">
        <v>74</v>
      </c>
      <c r="BI745">
        <v>4</v>
      </c>
      <c r="BJ745" t="s">
        <v>3093</v>
      </c>
      <c r="BK745" t="s">
        <v>419</v>
      </c>
      <c r="BL745" t="s">
        <v>3094</v>
      </c>
      <c r="BM745" t="s">
        <v>9553</v>
      </c>
      <c r="BN745" t="s">
        <v>74</v>
      </c>
      <c r="BO745" t="s">
        <v>3290</v>
      </c>
      <c r="BP745" t="s">
        <v>74</v>
      </c>
      <c r="BQ745" t="s">
        <v>74</v>
      </c>
      <c r="BR745" t="s">
        <v>101</v>
      </c>
      <c r="BS745" t="s">
        <v>9554</v>
      </c>
      <c r="BT745" t="str">
        <f>HYPERLINK("https%3A%2F%2Fwww.webofscience.com%2Fwos%2Fwoscc%2Ffull-record%2FWOS:000254520900004","View Full Record in Web of Science")</f>
        <v>View Full Record in Web of Science</v>
      </c>
    </row>
    <row r="746" spans="1:72" x14ac:dyDescent="0.15">
      <c r="A746" t="s">
        <v>72</v>
      </c>
      <c r="B746" t="s">
        <v>9555</v>
      </c>
      <c r="C746" t="s">
        <v>74</v>
      </c>
      <c r="D746" t="s">
        <v>74</v>
      </c>
      <c r="E746" t="s">
        <v>74</v>
      </c>
      <c r="F746" t="s">
        <v>9556</v>
      </c>
      <c r="G746" t="s">
        <v>74</v>
      </c>
      <c r="H746" t="s">
        <v>74</v>
      </c>
      <c r="I746" t="s">
        <v>9557</v>
      </c>
      <c r="J746" t="s">
        <v>3432</v>
      </c>
      <c r="K746" t="s">
        <v>74</v>
      </c>
      <c r="L746" t="s">
        <v>74</v>
      </c>
      <c r="M746" t="s">
        <v>78</v>
      </c>
      <c r="N746" t="s">
        <v>2737</v>
      </c>
      <c r="O746" t="s">
        <v>74</v>
      </c>
      <c r="P746" t="s">
        <v>74</v>
      </c>
      <c r="Q746" t="s">
        <v>74</v>
      </c>
      <c r="R746" t="s">
        <v>74</v>
      </c>
      <c r="S746" t="s">
        <v>74</v>
      </c>
      <c r="T746" t="s">
        <v>74</v>
      </c>
      <c r="U746" t="s">
        <v>9558</v>
      </c>
      <c r="V746" t="s">
        <v>9559</v>
      </c>
      <c r="W746" t="s">
        <v>9560</v>
      </c>
      <c r="X746" t="s">
        <v>9561</v>
      </c>
      <c r="Y746" t="s">
        <v>9562</v>
      </c>
      <c r="Z746" t="s">
        <v>9563</v>
      </c>
      <c r="AA746" t="s">
        <v>9564</v>
      </c>
      <c r="AB746" t="s">
        <v>74</v>
      </c>
      <c r="AC746" t="s">
        <v>74</v>
      </c>
      <c r="AD746" t="s">
        <v>74</v>
      </c>
      <c r="AE746" t="s">
        <v>74</v>
      </c>
      <c r="AF746" t="s">
        <v>74</v>
      </c>
      <c r="AG746">
        <v>25</v>
      </c>
      <c r="AH746">
        <v>19</v>
      </c>
      <c r="AI746">
        <v>19</v>
      </c>
      <c r="AJ746">
        <v>2</v>
      </c>
      <c r="AK746">
        <v>15</v>
      </c>
      <c r="AL746" t="s">
        <v>3280</v>
      </c>
      <c r="AM746" t="s">
        <v>3281</v>
      </c>
      <c r="AN746" t="s">
        <v>3282</v>
      </c>
      <c r="AO746" t="s">
        <v>3439</v>
      </c>
      <c r="AP746" t="s">
        <v>3440</v>
      </c>
      <c r="AQ746" t="s">
        <v>74</v>
      </c>
      <c r="AR746" t="s">
        <v>3441</v>
      </c>
      <c r="AS746" t="s">
        <v>3442</v>
      </c>
      <c r="AT746" t="s">
        <v>9550</v>
      </c>
      <c r="AU746">
        <v>2008</v>
      </c>
      <c r="AV746">
        <v>113</v>
      </c>
      <c r="AW746" t="s">
        <v>9565</v>
      </c>
      <c r="AX746" t="s">
        <v>74</v>
      </c>
      <c r="AY746" t="s">
        <v>74</v>
      </c>
      <c r="AZ746" t="s">
        <v>74</v>
      </c>
      <c r="BA746" t="s">
        <v>74</v>
      </c>
      <c r="BB746" t="s">
        <v>74</v>
      </c>
      <c r="BC746" t="s">
        <v>74</v>
      </c>
      <c r="BD746" t="s">
        <v>9566</v>
      </c>
      <c r="BE746" t="s">
        <v>9567</v>
      </c>
      <c r="BF746" t="str">
        <f>HYPERLINK("http://dx.doi.org/10.1029/2007JC004329","http://dx.doi.org/10.1029/2007JC004329")</f>
        <v>http://dx.doi.org/10.1029/2007JC004329</v>
      </c>
      <c r="BG746" t="s">
        <v>74</v>
      </c>
      <c r="BH746" t="s">
        <v>74</v>
      </c>
      <c r="BI746">
        <v>12</v>
      </c>
      <c r="BJ746" t="s">
        <v>3447</v>
      </c>
      <c r="BK746" t="s">
        <v>419</v>
      </c>
      <c r="BL746" t="s">
        <v>3447</v>
      </c>
      <c r="BM746" t="s">
        <v>9568</v>
      </c>
      <c r="BN746" t="s">
        <v>74</v>
      </c>
      <c r="BO746" t="s">
        <v>3290</v>
      </c>
      <c r="BP746" t="s">
        <v>74</v>
      </c>
      <c r="BQ746" t="s">
        <v>74</v>
      </c>
      <c r="BR746" t="s">
        <v>101</v>
      </c>
      <c r="BS746" t="s">
        <v>9569</v>
      </c>
      <c r="BT746" t="str">
        <f>HYPERLINK("https%3A%2F%2Fwww.webofscience.com%2Fwos%2Fwoscc%2Ffull-record%2FWOS:000254524900002","View Full Record in Web of Science")</f>
        <v>View Full Record in Web of Science</v>
      </c>
    </row>
    <row r="747" spans="1:72" x14ac:dyDescent="0.15">
      <c r="A747" t="s">
        <v>72</v>
      </c>
      <c r="B747" t="s">
        <v>9570</v>
      </c>
      <c r="C747" t="s">
        <v>74</v>
      </c>
      <c r="D747" t="s">
        <v>74</v>
      </c>
      <c r="E747" t="s">
        <v>74</v>
      </c>
      <c r="F747" t="s">
        <v>9571</v>
      </c>
      <c r="G747" t="s">
        <v>74</v>
      </c>
      <c r="H747" t="s">
        <v>74</v>
      </c>
      <c r="I747" t="s">
        <v>9572</v>
      </c>
      <c r="J747" t="s">
        <v>3540</v>
      </c>
      <c r="K747" t="s">
        <v>74</v>
      </c>
      <c r="L747" t="s">
        <v>74</v>
      </c>
      <c r="M747" t="s">
        <v>78</v>
      </c>
      <c r="N747" t="s">
        <v>2989</v>
      </c>
      <c r="O747" t="s">
        <v>74</v>
      </c>
      <c r="P747" t="s">
        <v>74</v>
      </c>
      <c r="Q747" t="s">
        <v>74</v>
      </c>
      <c r="R747" t="s">
        <v>74</v>
      </c>
      <c r="S747" t="s">
        <v>74</v>
      </c>
      <c r="T747" t="s">
        <v>74</v>
      </c>
      <c r="U747" t="s">
        <v>74</v>
      </c>
      <c r="V747" t="s">
        <v>74</v>
      </c>
      <c r="W747" t="s">
        <v>9573</v>
      </c>
      <c r="X747" t="s">
        <v>3598</v>
      </c>
      <c r="Y747" t="s">
        <v>9574</v>
      </c>
      <c r="Z747" t="s">
        <v>74</v>
      </c>
      <c r="AA747" t="s">
        <v>74</v>
      </c>
      <c r="AB747" t="s">
        <v>74</v>
      </c>
      <c r="AC747" t="s">
        <v>74</v>
      </c>
      <c r="AD747" t="s">
        <v>74</v>
      </c>
      <c r="AE747" t="s">
        <v>74</v>
      </c>
      <c r="AF747" t="s">
        <v>74</v>
      </c>
      <c r="AG747">
        <v>0</v>
      </c>
      <c r="AH747">
        <v>0</v>
      </c>
      <c r="AI747">
        <v>0</v>
      </c>
      <c r="AJ747">
        <v>0</v>
      </c>
      <c r="AK747">
        <v>0</v>
      </c>
      <c r="AL747" t="s">
        <v>3549</v>
      </c>
      <c r="AM747" t="s">
        <v>3550</v>
      </c>
      <c r="AN747" t="s">
        <v>3551</v>
      </c>
      <c r="AO747" t="s">
        <v>3552</v>
      </c>
      <c r="AP747" t="s">
        <v>74</v>
      </c>
      <c r="AQ747" t="s">
        <v>74</v>
      </c>
      <c r="AR747" t="s">
        <v>3540</v>
      </c>
      <c r="AS747" t="s">
        <v>3554</v>
      </c>
      <c r="AT747" t="s">
        <v>9550</v>
      </c>
      <c r="AU747">
        <v>2008</v>
      </c>
      <c r="AV747">
        <v>452</v>
      </c>
      <c r="AW747">
        <v>7185</v>
      </c>
      <c r="AX747" t="s">
        <v>74</v>
      </c>
      <c r="AY747" t="s">
        <v>74</v>
      </c>
      <c r="AZ747" t="s">
        <v>74</v>
      </c>
      <c r="BA747" t="s">
        <v>74</v>
      </c>
      <c r="BB747">
        <v>290</v>
      </c>
      <c r="BC747">
        <v>290</v>
      </c>
      <c r="BD747" t="s">
        <v>74</v>
      </c>
      <c r="BE747" t="s">
        <v>9575</v>
      </c>
      <c r="BF747" t="str">
        <f>HYPERLINK("http://dx.doi.org/10.1038/452290a","http://dx.doi.org/10.1038/452290a")</f>
        <v>http://dx.doi.org/10.1038/452290a</v>
      </c>
      <c r="BG747" t="s">
        <v>74</v>
      </c>
      <c r="BH747" t="s">
        <v>74</v>
      </c>
      <c r="BI747">
        <v>1</v>
      </c>
      <c r="BJ747" t="s">
        <v>3123</v>
      </c>
      <c r="BK747" t="s">
        <v>419</v>
      </c>
      <c r="BL747" t="s">
        <v>3124</v>
      </c>
      <c r="BM747" t="s">
        <v>9576</v>
      </c>
      <c r="BN747" t="s">
        <v>74</v>
      </c>
      <c r="BO747" t="s">
        <v>3290</v>
      </c>
      <c r="BP747" t="s">
        <v>74</v>
      </c>
      <c r="BQ747" t="s">
        <v>74</v>
      </c>
      <c r="BR747" t="s">
        <v>101</v>
      </c>
      <c r="BS747" t="s">
        <v>9577</v>
      </c>
      <c r="BT747" t="str">
        <f>HYPERLINK("https%3A%2F%2Fwww.webofscience.com%2Fwos%2Fwoscc%2Ffull-record%2FWOS:000254117400027","View Full Record in Web of Science")</f>
        <v>View Full Record in Web of Science</v>
      </c>
    </row>
    <row r="748" spans="1:72" x14ac:dyDescent="0.15">
      <c r="A748" t="s">
        <v>72</v>
      </c>
      <c r="B748" t="s">
        <v>9578</v>
      </c>
      <c r="C748" t="s">
        <v>74</v>
      </c>
      <c r="D748" t="s">
        <v>74</v>
      </c>
      <c r="E748" t="s">
        <v>74</v>
      </c>
      <c r="F748" t="s">
        <v>9579</v>
      </c>
      <c r="G748" t="s">
        <v>74</v>
      </c>
      <c r="H748" t="s">
        <v>74</v>
      </c>
      <c r="I748" t="s">
        <v>9580</v>
      </c>
      <c r="J748" t="s">
        <v>3295</v>
      </c>
      <c r="K748" t="s">
        <v>74</v>
      </c>
      <c r="L748" t="s">
        <v>74</v>
      </c>
      <c r="M748" t="s">
        <v>78</v>
      </c>
      <c r="N748" t="s">
        <v>2737</v>
      </c>
      <c r="O748" t="s">
        <v>74</v>
      </c>
      <c r="P748" t="s">
        <v>74</v>
      </c>
      <c r="Q748" t="s">
        <v>74</v>
      </c>
      <c r="R748" t="s">
        <v>74</v>
      </c>
      <c r="S748" t="s">
        <v>74</v>
      </c>
      <c r="T748" t="s">
        <v>74</v>
      </c>
      <c r="U748" t="s">
        <v>9581</v>
      </c>
      <c r="V748" t="s">
        <v>9582</v>
      </c>
      <c r="W748" t="s">
        <v>9583</v>
      </c>
      <c r="X748" t="s">
        <v>9584</v>
      </c>
      <c r="Y748" t="s">
        <v>9585</v>
      </c>
      <c r="Z748" t="s">
        <v>9586</v>
      </c>
      <c r="AA748" t="s">
        <v>9587</v>
      </c>
      <c r="AB748" t="s">
        <v>9588</v>
      </c>
      <c r="AC748" t="s">
        <v>74</v>
      </c>
      <c r="AD748" t="s">
        <v>74</v>
      </c>
      <c r="AE748" t="s">
        <v>74</v>
      </c>
      <c r="AF748" t="s">
        <v>74</v>
      </c>
      <c r="AG748">
        <v>12</v>
      </c>
      <c r="AH748">
        <v>9</v>
      </c>
      <c r="AI748">
        <v>11</v>
      </c>
      <c r="AJ748">
        <v>0</v>
      </c>
      <c r="AK748">
        <v>4</v>
      </c>
      <c r="AL748" t="s">
        <v>3280</v>
      </c>
      <c r="AM748" t="s">
        <v>3281</v>
      </c>
      <c r="AN748" t="s">
        <v>3282</v>
      </c>
      <c r="AO748" t="s">
        <v>3304</v>
      </c>
      <c r="AP748" t="s">
        <v>74</v>
      </c>
      <c r="AQ748" t="s">
        <v>74</v>
      </c>
      <c r="AR748" t="s">
        <v>3306</v>
      </c>
      <c r="AS748" t="s">
        <v>3307</v>
      </c>
      <c r="AT748" t="s">
        <v>9589</v>
      </c>
      <c r="AU748">
        <v>2008</v>
      </c>
      <c r="AV748">
        <v>35</v>
      </c>
      <c r="AW748">
        <v>6</v>
      </c>
      <c r="AX748" t="s">
        <v>74</v>
      </c>
      <c r="AY748" t="s">
        <v>74</v>
      </c>
      <c r="AZ748" t="s">
        <v>74</v>
      </c>
      <c r="BA748" t="s">
        <v>74</v>
      </c>
      <c r="BB748" t="s">
        <v>74</v>
      </c>
      <c r="BC748" t="s">
        <v>74</v>
      </c>
      <c r="BD748" t="s">
        <v>9590</v>
      </c>
      <c r="BE748" t="s">
        <v>9591</v>
      </c>
      <c r="BF748" t="str">
        <f>HYPERLINK("http://dx.doi.org/10.1029/2007GL032762","http://dx.doi.org/10.1029/2007GL032762")</f>
        <v>http://dx.doi.org/10.1029/2007GL032762</v>
      </c>
      <c r="BG748" t="s">
        <v>74</v>
      </c>
      <c r="BH748" t="s">
        <v>74</v>
      </c>
      <c r="BI748">
        <v>5</v>
      </c>
      <c r="BJ748" t="s">
        <v>3093</v>
      </c>
      <c r="BK748" t="s">
        <v>419</v>
      </c>
      <c r="BL748" t="s">
        <v>3094</v>
      </c>
      <c r="BM748" t="s">
        <v>9592</v>
      </c>
      <c r="BN748" t="s">
        <v>74</v>
      </c>
      <c r="BO748" t="s">
        <v>3290</v>
      </c>
      <c r="BP748" t="s">
        <v>74</v>
      </c>
      <c r="BQ748" t="s">
        <v>74</v>
      </c>
      <c r="BR748" t="s">
        <v>101</v>
      </c>
      <c r="BS748" t="s">
        <v>9593</v>
      </c>
      <c r="BT748" t="str">
        <f>HYPERLINK("https%3A%2F%2Fwww.webofscience.com%2Fwos%2Fwoscc%2Ffull-record%2FWOS:000254520700002","View Full Record in Web of Science")</f>
        <v>View Full Record in Web of Science</v>
      </c>
    </row>
    <row r="749" spans="1:72" x14ac:dyDescent="0.15">
      <c r="A749" t="s">
        <v>72</v>
      </c>
      <c r="B749" t="s">
        <v>9594</v>
      </c>
      <c r="C749" t="s">
        <v>74</v>
      </c>
      <c r="D749" t="s">
        <v>74</v>
      </c>
      <c r="E749" t="s">
        <v>74</v>
      </c>
      <c r="F749" t="s">
        <v>9595</v>
      </c>
      <c r="G749" t="s">
        <v>74</v>
      </c>
      <c r="H749" t="s">
        <v>74</v>
      </c>
      <c r="I749" t="s">
        <v>9596</v>
      </c>
      <c r="J749" t="s">
        <v>3295</v>
      </c>
      <c r="K749" t="s">
        <v>74</v>
      </c>
      <c r="L749" t="s">
        <v>74</v>
      </c>
      <c r="M749" t="s">
        <v>78</v>
      </c>
      <c r="N749" t="s">
        <v>2737</v>
      </c>
      <c r="O749" t="s">
        <v>74</v>
      </c>
      <c r="P749" t="s">
        <v>74</v>
      </c>
      <c r="Q749" t="s">
        <v>74</v>
      </c>
      <c r="R749" t="s">
        <v>74</v>
      </c>
      <c r="S749" t="s">
        <v>74</v>
      </c>
      <c r="T749" t="s">
        <v>74</v>
      </c>
      <c r="U749" t="s">
        <v>9597</v>
      </c>
      <c r="V749" t="s">
        <v>9598</v>
      </c>
      <c r="W749" t="s">
        <v>9599</v>
      </c>
      <c r="X749" t="s">
        <v>9600</v>
      </c>
      <c r="Y749" t="s">
        <v>9601</v>
      </c>
      <c r="Z749" t="s">
        <v>9602</v>
      </c>
      <c r="AA749" t="s">
        <v>9603</v>
      </c>
      <c r="AB749" t="s">
        <v>9604</v>
      </c>
      <c r="AC749" t="s">
        <v>74</v>
      </c>
      <c r="AD749" t="s">
        <v>74</v>
      </c>
      <c r="AE749" t="s">
        <v>74</v>
      </c>
      <c r="AF749" t="s">
        <v>74</v>
      </c>
      <c r="AG749">
        <v>27</v>
      </c>
      <c r="AH749">
        <v>17</v>
      </c>
      <c r="AI749">
        <v>18</v>
      </c>
      <c r="AJ749">
        <v>1</v>
      </c>
      <c r="AK749">
        <v>4</v>
      </c>
      <c r="AL749" t="s">
        <v>3280</v>
      </c>
      <c r="AM749" t="s">
        <v>3281</v>
      </c>
      <c r="AN749" t="s">
        <v>3282</v>
      </c>
      <c r="AO749" t="s">
        <v>3304</v>
      </c>
      <c r="AP749" t="s">
        <v>3305</v>
      </c>
      <c r="AQ749" t="s">
        <v>74</v>
      </c>
      <c r="AR749" t="s">
        <v>3306</v>
      </c>
      <c r="AS749" t="s">
        <v>3307</v>
      </c>
      <c r="AT749" t="s">
        <v>9589</v>
      </c>
      <c r="AU749">
        <v>2008</v>
      </c>
      <c r="AV749">
        <v>35</v>
      </c>
      <c r="AW749">
        <v>6</v>
      </c>
      <c r="AX749" t="s">
        <v>74</v>
      </c>
      <c r="AY749" t="s">
        <v>74</v>
      </c>
      <c r="AZ749" t="s">
        <v>74</v>
      </c>
      <c r="BA749" t="s">
        <v>74</v>
      </c>
      <c r="BB749" t="s">
        <v>74</v>
      </c>
      <c r="BC749" t="s">
        <v>74</v>
      </c>
      <c r="BD749" t="s">
        <v>9605</v>
      </c>
      <c r="BE749" t="s">
        <v>9606</v>
      </c>
      <c r="BF749" t="str">
        <f>HYPERLINK("http://dx.doi.org/10.1029/2007GL032767","http://dx.doi.org/10.1029/2007GL032767")</f>
        <v>http://dx.doi.org/10.1029/2007GL032767</v>
      </c>
      <c r="BG749" t="s">
        <v>74</v>
      </c>
      <c r="BH749" t="s">
        <v>74</v>
      </c>
      <c r="BI749">
        <v>6</v>
      </c>
      <c r="BJ749" t="s">
        <v>3093</v>
      </c>
      <c r="BK749" t="s">
        <v>419</v>
      </c>
      <c r="BL749" t="s">
        <v>3094</v>
      </c>
      <c r="BM749" t="s">
        <v>9592</v>
      </c>
      <c r="BN749" t="s">
        <v>74</v>
      </c>
      <c r="BO749" t="s">
        <v>9607</v>
      </c>
      <c r="BP749" t="s">
        <v>74</v>
      </c>
      <c r="BQ749" t="s">
        <v>74</v>
      </c>
      <c r="BR749" t="s">
        <v>101</v>
      </c>
      <c r="BS749" t="s">
        <v>9608</v>
      </c>
      <c r="BT749" t="str">
        <f>HYPERLINK("https%3A%2F%2Fwww.webofscience.com%2Fwos%2Fwoscc%2Ffull-record%2FWOS:000254520700003","View Full Record in Web of Science")</f>
        <v>View Full Record in Web of Science</v>
      </c>
    </row>
    <row r="750" spans="1:72" x14ac:dyDescent="0.15">
      <c r="A750" t="s">
        <v>72</v>
      </c>
      <c r="B750" t="s">
        <v>9609</v>
      </c>
      <c r="C750" t="s">
        <v>74</v>
      </c>
      <c r="D750" t="s">
        <v>74</v>
      </c>
      <c r="E750" t="s">
        <v>74</v>
      </c>
      <c r="F750" t="s">
        <v>9610</v>
      </c>
      <c r="G750" t="s">
        <v>74</v>
      </c>
      <c r="H750" t="s">
        <v>74</v>
      </c>
      <c r="I750" t="s">
        <v>9611</v>
      </c>
      <c r="J750" t="s">
        <v>7444</v>
      </c>
      <c r="K750" t="s">
        <v>74</v>
      </c>
      <c r="L750" t="s">
        <v>74</v>
      </c>
      <c r="M750" t="s">
        <v>78</v>
      </c>
      <c r="N750" t="s">
        <v>2737</v>
      </c>
      <c r="O750" t="s">
        <v>74</v>
      </c>
      <c r="P750" t="s">
        <v>74</v>
      </c>
      <c r="Q750" t="s">
        <v>74</v>
      </c>
      <c r="R750" t="s">
        <v>74</v>
      </c>
      <c r="S750" t="s">
        <v>74</v>
      </c>
      <c r="T750" t="s">
        <v>9612</v>
      </c>
      <c r="U750" t="s">
        <v>9613</v>
      </c>
      <c r="V750" t="s">
        <v>9614</v>
      </c>
      <c r="W750" t="s">
        <v>9615</v>
      </c>
      <c r="X750" t="s">
        <v>9616</v>
      </c>
      <c r="Y750" t="s">
        <v>9617</v>
      </c>
      <c r="Z750" t="s">
        <v>9618</v>
      </c>
      <c r="AA750" t="s">
        <v>74</v>
      </c>
      <c r="AB750" t="s">
        <v>74</v>
      </c>
      <c r="AC750" t="s">
        <v>74</v>
      </c>
      <c r="AD750" t="s">
        <v>74</v>
      </c>
      <c r="AE750" t="s">
        <v>74</v>
      </c>
      <c r="AF750" t="s">
        <v>74</v>
      </c>
      <c r="AG750">
        <v>33</v>
      </c>
      <c r="AH750">
        <v>29</v>
      </c>
      <c r="AI750">
        <v>35</v>
      </c>
      <c r="AJ750">
        <v>1</v>
      </c>
      <c r="AK750">
        <v>36</v>
      </c>
      <c r="AL750" t="s">
        <v>3979</v>
      </c>
      <c r="AM750" t="s">
        <v>2747</v>
      </c>
      <c r="AN750" t="s">
        <v>3980</v>
      </c>
      <c r="AO750" t="s">
        <v>7453</v>
      </c>
      <c r="AP750" t="s">
        <v>7454</v>
      </c>
      <c r="AQ750" t="s">
        <v>74</v>
      </c>
      <c r="AR750" t="s">
        <v>7455</v>
      </c>
      <c r="AS750" t="s">
        <v>7456</v>
      </c>
      <c r="AT750" t="s">
        <v>9589</v>
      </c>
      <c r="AU750">
        <v>2008</v>
      </c>
      <c r="AV750">
        <v>112</v>
      </c>
      <c r="AW750">
        <v>3</v>
      </c>
      <c r="AX750" t="s">
        <v>74</v>
      </c>
      <c r="AY750" t="s">
        <v>74</v>
      </c>
      <c r="AZ750" t="s">
        <v>74</v>
      </c>
      <c r="BA750" t="s">
        <v>74</v>
      </c>
      <c r="BB750">
        <v>646</v>
      </c>
      <c r="BC750">
        <v>667</v>
      </c>
      <c r="BD750" t="s">
        <v>74</v>
      </c>
      <c r="BE750" t="s">
        <v>9619</v>
      </c>
      <c r="BF750" t="str">
        <f>HYPERLINK("http://dx.doi.org/10.1016/j.rse.2007.06.005","http://dx.doi.org/10.1016/j.rse.2007.06.005")</f>
        <v>http://dx.doi.org/10.1016/j.rse.2007.06.005</v>
      </c>
      <c r="BG750" t="s">
        <v>74</v>
      </c>
      <c r="BH750" t="s">
        <v>74</v>
      </c>
      <c r="BI750">
        <v>22</v>
      </c>
      <c r="BJ750" t="s">
        <v>7458</v>
      </c>
      <c r="BK750" t="s">
        <v>419</v>
      </c>
      <c r="BL750" t="s">
        <v>7459</v>
      </c>
      <c r="BM750" t="s">
        <v>9620</v>
      </c>
      <c r="BN750" t="s">
        <v>74</v>
      </c>
      <c r="BO750" t="s">
        <v>74</v>
      </c>
      <c r="BP750" t="s">
        <v>74</v>
      </c>
      <c r="BQ750" t="s">
        <v>74</v>
      </c>
      <c r="BR750" t="s">
        <v>101</v>
      </c>
      <c r="BS750" t="s">
        <v>9621</v>
      </c>
      <c r="BT750" t="str">
        <f>HYPERLINK("https%3A%2F%2Fwww.webofscience.com%2Fwos%2Fwoscc%2Ffull-record%2FWOS:000254443700004","View Full Record in Web of Science")</f>
        <v>View Full Record in Web of Science</v>
      </c>
    </row>
    <row r="751" spans="1:72" x14ac:dyDescent="0.15">
      <c r="A751" t="s">
        <v>72</v>
      </c>
      <c r="B751" t="s">
        <v>9622</v>
      </c>
      <c r="C751" t="s">
        <v>74</v>
      </c>
      <c r="D751" t="s">
        <v>74</v>
      </c>
      <c r="E751" t="s">
        <v>74</v>
      </c>
      <c r="F751" t="s">
        <v>9623</v>
      </c>
      <c r="G751" t="s">
        <v>74</v>
      </c>
      <c r="H751" t="s">
        <v>74</v>
      </c>
      <c r="I751" t="s">
        <v>9624</v>
      </c>
      <c r="J751" t="s">
        <v>9625</v>
      </c>
      <c r="K751" t="s">
        <v>74</v>
      </c>
      <c r="L751" t="s">
        <v>74</v>
      </c>
      <c r="M751" t="s">
        <v>78</v>
      </c>
      <c r="N751" t="s">
        <v>2958</v>
      </c>
      <c r="O751" t="s">
        <v>74</v>
      </c>
      <c r="P751" t="s">
        <v>74</v>
      </c>
      <c r="Q751" t="s">
        <v>74</v>
      </c>
      <c r="R751" t="s">
        <v>74</v>
      </c>
      <c r="S751" t="s">
        <v>74</v>
      </c>
      <c r="T751" t="s">
        <v>9626</v>
      </c>
      <c r="U751" t="s">
        <v>9627</v>
      </c>
      <c r="V751" t="s">
        <v>9628</v>
      </c>
      <c r="W751" t="s">
        <v>9629</v>
      </c>
      <c r="X751" t="s">
        <v>9630</v>
      </c>
      <c r="Y751" t="s">
        <v>9631</v>
      </c>
      <c r="Z751" t="s">
        <v>9632</v>
      </c>
      <c r="AA751" t="s">
        <v>74</v>
      </c>
      <c r="AB751" t="s">
        <v>74</v>
      </c>
      <c r="AC751" t="s">
        <v>74</v>
      </c>
      <c r="AD751" t="s">
        <v>74</v>
      </c>
      <c r="AE751" t="s">
        <v>74</v>
      </c>
      <c r="AF751" t="s">
        <v>74</v>
      </c>
      <c r="AG751">
        <v>90</v>
      </c>
      <c r="AH751">
        <v>123</v>
      </c>
      <c r="AI751">
        <v>199</v>
      </c>
      <c r="AJ751">
        <v>2</v>
      </c>
      <c r="AK751">
        <v>79</v>
      </c>
      <c r="AL751" t="s">
        <v>3933</v>
      </c>
      <c r="AM751" t="s">
        <v>3258</v>
      </c>
      <c r="AN751" t="s">
        <v>3934</v>
      </c>
      <c r="AO751" t="s">
        <v>9633</v>
      </c>
      <c r="AP751" t="s">
        <v>9634</v>
      </c>
      <c r="AQ751" t="s">
        <v>74</v>
      </c>
      <c r="AR751" t="s">
        <v>9625</v>
      </c>
      <c r="AS751" t="s">
        <v>9635</v>
      </c>
      <c r="AT751" t="s">
        <v>9636</v>
      </c>
      <c r="AU751">
        <v>2008</v>
      </c>
      <c r="AV751">
        <v>144</v>
      </c>
      <c r="AW751" t="s">
        <v>5676</v>
      </c>
      <c r="AX751" t="s">
        <v>74</v>
      </c>
      <c r="AY751" t="s">
        <v>74</v>
      </c>
      <c r="AZ751" t="s">
        <v>74</v>
      </c>
      <c r="BA751" t="s">
        <v>74</v>
      </c>
      <c r="BB751">
        <v>1</v>
      </c>
      <c r="BC751">
        <v>8</v>
      </c>
      <c r="BD751" t="s">
        <v>74</v>
      </c>
      <c r="BE751" t="s">
        <v>9637</v>
      </c>
      <c r="BF751" t="str">
        <f>HYPERLINK("http://dx.doi.org/10.1016/j.geoderma.2007.10.005","http://dx.doi.org/10.1016/j.geoderma.2007.10.005")</f>
        <v>http://dx.doi.org/10.1016/j.geoderma.2007.10.005</v>
      </c>
      <c r="BG751" t="s">
        <v>74</v>
      </c>
      <c r="BH751" t="s">
        <v>74</v>
      </c>
      <c r="BI751">
        <v>8</v>
      </c>
      <c r="BJ751" t="s">
        <v>3177</v>
      </c>
      <c r="BK751" t="s">
        <v>419</v>
      </c>
      <c r="BL751" t="s">
        <v>3178</v>
      </c>
      <c r="BM751" t="s">
        <v>9638</v>
      </c>
      <c r="BN751" t="s">
        <v>74</v>
      </c>
      <c r="BO751" t="s">
        <v>74</v>
      </c>
      <c r="BP751" t="s">
        <v>74</v>
      </c>
      <c r="BQ751" t="s">
        <v>74</v>
      </c>
      <c r="BR751" t="s">
        <v>101</v>
      </c>
      <c r="BS751" t="s">
        <v>9639</v>
      </c>
      <c r="BT751" t="str">
        <f>HYPERLINK("https%3A%2F%2Fwww.webofscience.com%2Fwos%2Fwoscc%2Ffull-record%2FWOS:000254473000001","View Full Record in Web of Science")</f>
        <v>View Full Record in Web of Science</v>
      </c>
    </row>
    <row r="752" spans="1:72" x14ac:dyDescent="0.15">
      <c r="A752" t="s">
        <v>72</v>
      </c>
      <c r="B752" t="s">
        <v>9640</v>
      </c>
      <c r="C752" t="s">
        <v>74</v>
      </c>
      <c r="D752" t="s">
        <v>74</v>
      </c>
      <c r="E752" t="s">
        <v>74</v>
      </c>
      <c r="F752" t="s">
        <v>9641</v>
      </c>
      <c r="G752" t="s">
        <v>74</v>
      </c>
      <c r="H752" t="s">
        <v>74</v>
      </c>
      <c r="I752" t="s">
        <v>9642</v>
      </c>
      <c r="J752" t="s">
        <v>9625</v>
      </c>
      <c r="K752" t="s">
        <v>74</v>
      </c>
      <c r="L752" t="s">
        <v>74</v>
      </c>
      <c r="M752" t="s">
        <v>78</v>
      </c>
      <c r="N752" t="s">
        <v>2737</v>
      </c>
      <c r="O752" t="s">
        <v>74</v>
      </c>
      <c r="P752" t="s">
        <v>74</v>
      </c>
      <c r="Q752" t="s">
        <v>74</v>
      </c>
      <c r="R752" t="s">
        <v>74</v>
      </c>
      <c r="S752" t="s">
        <v>74</v>
      </c>
      <c r="T752" t="s">
        <v>9643</v>
      </c>
      <c r="U752" t="s">
        <v>9644</v>
      </c>
      <c r="V752" t="s">
        <v>9645</v>
      </c>
      <c r="W752" t="s">
        <v>9646</v>
      </c>
      <c r="X752" t="s">
        <v>9647</v>
      </c>
      <c r="Y752" t="s">
        <v>9648</v>
      </c>
      <c r="Z752" t="s">
        <v>9649</v>
      </c>
      <c r="AA752" t="s">
        <v>9650</v>
      </c>
      <c r="AB752" t="s">
        <v>74</v>
      </c>
      <c r="AC752" t="s">
        <v>74</v>
      </c>
      <c r="AD752" t="s">
        <v>74</v>
      </c>
      <c r="AE752" t="s">
        <v>74</v>
      </c>
      <c r="AF752" t="s">
        <v>74</v>
      </c>
      <c r="AG752">
        <v>54</v>
      </c>
      <c r="AH752">
        <v>92</v>
      </c>
      <c r="AI752">
        <v>102</v>
      </c>
      <c r="AJ752">
        <v>6</v>
      </c>
      <c r="AK752">
        <v>44</v>
      </c>
      <c r="AL752" t="s">
        <v>3257</v>
      </c>
      <c r="AM752" t="s">
        <v>3258</v>
      </c>
      <c r="AN752" t="s">
        <v>3259</v>
      </c>
      <c r="AO752" t="s">
        <v>9633</v>
      </c>
      <c r="AP752" t="s">
        <v>9634</v>
      </c>
      <c r="AQ752" t="s">
        <v>74</v>
      </c>
      <c r="AR752" t="s">
        <v>9625</v>
      </c>
      <c r="AS752" t="s">
        <v>9635</v>
      </c>
      <c r="AT752" t="s">
        <v>9636</v>
      </c>
      <c r="AU752">
        <v>2008</v>
      </c>
      <c r="AV752">
        <v>144</v>
      </c>
      <c r="AW752" t="s">
        <v>5676</v>
      </c>
      <c r="AX752" t="s">
        <v>74</v>
      </c>
      <c r="AY752" t="s">
        <v>74</v>
      </c>
      <c r="AZ752" t="s">
        <v>74</v>
      </c>
      <c r="BA752" t="s">
        <v>74</v>
      </c>
      <c r="BB752">
        <v>9</v>
      </c>
      <c r="BC752">
        <v>20</v>
      </c>
      <c r="BD752" t="s">
        <v>74</v>
      </c>
      <c r="BE752" t="s">
        <v>9651</v>
      </c>
      <c r="BF752" t="str">
        <f>HYPERLINK("http://dx.doi.org/10.1016/j.geoderma.2007.10.006","http://dx.doi.org/10.1016/j.geoderma.2007.10.006")</f>
        <v>http://dx.doi.org/10.1016/j.geoderma.2007.10.006</v>
      </c>
      <c r="BG752" t="s">
        <v>74</v>
      </c>
      <c r="BH752" t="s">
        <v>74</v>
      </c>
      <c r="BI752">
        <v>12</v>
      </c>
      <c r="BJ752" t="s">
        <v>3177</v>
      </c>
      <c r="BK752" t="s">
        <v>419</v>
      </c>
      <c r="BL752" t="s">
        <v>3178</v>
      </c>
      <c r="BM752" t="s">
        <v>9638</v>
      </c>
      <c r="BN752" t="s">
        <v>74</v>
      </c>
      <c r="BO752" t="s">
        <v>74</v>
      </c>
      <c r="BP752" t="s">
        <v>74</v>
      </c>
      <c r="BQ752" t="s">
        <v>74</v>
      </c>
      <c r="BR752" t="s">
        <v>101</v>
      </c>
      <c r="BS752" t="s">
        <v>9652</v>
      </c>
      <c r="BT752" t="str">
        <f>HYPERLINK("https%3A%2F%2Fwww.webofscience.com%2Fwos%2Fwoscc%2Ffull-record%2FWOS:000254473000002","View Full Record in Web of Science")</f>
        <v>View Full Record in Web of Science</v>
      </c>
    </row>
    <row r="753" spans="1:72" x14ac:dyDescent="0.15">
      <c r="A753" t="s">
        <v>72</v>
      </c>
      <c r="B753" t="s">
        <v>9653</v>
      </c>
      <c r="C753" t="s">
        <v>74</v>
      </c>
      <c r="D753" t="s">
        <v>74</v>
      </c>
      <c r="E753" t="s">
        <v>74</v>
      </c>
      <c r="F753" t="s">
        <v>9654</v>
      </c>
      <c r="G753" t="s">
        <v>74</v>
      </c>
      <c r="H753" t="s">
        <v>74</v>
      </c>
      <c r="I753" t="s">
        <v>9655</v>
      </c>
      <c r="J753" t="s">
        <v>9625</v>
      </c>
      <c r="K753" t="s">
        <v>74</v>
      </c>
      <c r="L753" t="s">
        <v>74</v>
      </c>
      <c r="M753" t="s">
        <v>78</v>
      </c>
      <c r="N753" t="s">
        <v>2737</v>
      </c>
      <c r="O753" t="s">
        <v>74</v>
      </c>
      <c r="P753" t="s">
        <v>74</v>
      </c>
      <c r="Q753" t="s">
        <v>74</v>
      </c>
      <c r="R753" t="s">
        <v>74</v>
      </c>
      <c r="S753" t="s">
        <v>74</v>
      </c>
      <c r="T753" t="s">
        <v>9656</v>
      </c>
      <c r="U753" t="s">
        <v>9657</v>
      </c>
      <c r="V753" t="s">
        <v>9658</v>
      </c>
      <c r="W753" t="s">
        <v>9659</v>
      </c>
      <c r="X753" t="s">
        <v>9660</v>
      </c>
      <c r="Y753" t="s">
        <v>9661</v>
      </c>
      <c r="Z753" t="s">
        <v>9662</v>
      </c>
      <c r="AA753" t="s">
        <v>9663</v>
      </c>
      <c r="AB753" t="s">
        <v>9664</v>
      </c>
      <c r="AC753" t="s">
        <v>9665</v>
      </c>
      <c r="AD753" t="s">
        <v>9666</v>
      </c>
      <c r="AE753" t="s">
        <v>74</v>
      </c>
      <c r="AF753" t="s">
        <v>74</v>
      </c>
      <c r="AG753">
        <v>66</v>
      </c>
      <c r="AH753">
        <v>34</v>
      </c>
      <c r="AI753">
        <v>43</v>
      </c>
      <c r="AJ753">
        <v>0</v>
      </c>
      <c r="AK753">
        <v>38</v>
      </c>
      <c r="AL753" t="s">
        <v>3933</v>
      </c>
      <c r="AM753" t="s">
        <v>3258</v>
      </c>
      <c r="AN753" t="s">
        <v>3934</v>
      </c>
      <c r="AO753" t="s">
        <v>9633</v>
      </c>
      <c r="AP753" t="s">
        <v>9634</v>
      </c>
      <c r="AQ753" t="s">
        <v>74</v>
      </c>
      <c r="AR753" t="s">
        <v>9625</v>
      </c>
      <c r="AS753" t="s">
        <v>9635</v>
      </c>
      <c r="AT753" t="s">
        <v>9636</v>
      </c>
      <c r="AU753">
        <v>2008</v>
      </c>
      <c r="AV753">
        <v>144</v>
      </c>
      <c r="AW753" t="s">
        <v>5676</v>
      </c>
      <c r="AX753" t="s">
        <v>74</v>
      </c>
      <c r="AY753" t="s">
        <v>74</v>
      </c>
      <c r="AZ753" t="s">
        <v>74</v>
      </c>
      <c r="BA753" t="s">
        <v>74</v>
      </c>
      <c r="BB753">
        <v>21</v>
      </c>
      <c r="BC753">
        <v>31</v>
      </c>
      <c r="BD753" t="s">
        <v>74</v>
      </c>
      <c r="BE753" t="s">
        <v>9667</v>
      </c>
      <c r="BF753" t="str">
        <f>HYPERLINK("http://dx.doi.org/10.1016/j.geoderma.2007.10.007","http://dx.doi.org/10.1016/j.geoderma.2007.10.007")</f>
        <v>http://dx.doi.org/10.1016/j.geoderma.2007.10.007</v>
      </c>
      <c r="BG753" t="s">
        <v>74</v>
      </c>
      <c r="BH753" t="s">
        <v>74</v>
      </c>
      <c r="BI753">
        <v>11</v>
      </c>
      <c r="BJ753" t="s">
        <v>3177</v>
      </c>
      <c r="BK753" t="s">
        <v>419</v>
      </c>
      <c r="BL753" t="s">
        <v>3178</v>
      </c>
      <c r="BM753" t="s">
        <v>9638</v>
      </c>
      <c r="BN753" t="s">
        <v>74</v>
      </c>
      <c r="BO753" t="s">
        <v>74</v>
      </c>
      <c r="BP753" t="s">
        <v>74</v>
      </c>
      <c r="BQ753" t="s">
        <v>74</v>
      </c>
      <c r="BR753" t="s">
        <v>101</v>
      </c>
      <c r="BS753" t="s">
        <v>9668</v>
      </c>
      <c r="BT753" t="str">
        <f>HYPERLINK("https%3A%2F%2Fwww.webofscience.com%2Fwos%2Fwoscc%2Ffull-record%2FWOS:000254473000003","View Full Record in Web of Science")</f>
        <v>View Full Record in Web of Science</v>
      </c>
    </row>
    <row r="754" spans="1:72" x14ac:dyDescent="0.15">
      <c r="A754" t="s">
        <v>72</v>
      </c>
      <c r="B754" t="s">
        <v>9669</v>
      </c>
      <c r="C754" t="s">
        <v>74</v>
      </c>
      <c r="D754" t="s">
        <v>74</v>
      </c>
      <c r="E754" t="s">
        <v>74</v>
      </c>
      <c r="F754" t="s">
        <v>9670</v>
      </c>
      <c r="G754" t="s">
        <v>74</v>
      </c>
      <c r="H754" t="s">
        <v>74</v>
      </c>
      <c r="I754" t="s">
        <v>9671</v>
      </c>
      <c r="J754" t="s">
        <v>9625</v>
      </c>
      <c r="K754" t="s">
        <v>74</v>
      </c>
      <c r="L754" t="s">
        <v>74</v>
      </c>
      <c r="M754" t="s">
        <v>78</v>
      </c>
      <c r="N754" t="s">
        <v>2737</v>
      </c>
      <c r="O754" t="s">
        <v>74</v>
      </c>
      <c r="P754" t="s">
        <v>74</v>
      </c>
      <c r="Q754" t="s">
        <v>74</v>
      </c>
      <c r="R754" t="s">
        <v>74</v>
      </c>
      <c r="S754" t="s">
        <v>74</v>
      </c>
      <c r="T754" t="s">
        <v>9672</v>
      </c>
      <c r="U754" t="s">
        <v>9673</v>
      </c>
      <c r="V754" t="s">
        <v>9674</v>
      </c>
      <c r="W754" t="s">
        <v>9675</v>
      </c>
      <c r="X754" t="s">
        <v>9676</v>
      </c>
      <c r="Y754" t="s">
        <v>9631</v>
      </c>
      <c r="Z754" t="s">
        <v>6003</v>
      </c>
      <c r="AA754" t="s">
        <v>74</v>
      </c>
      <c r="AB754" t="s">
        <v>74</v>
      </c>
      <c r="AC754" t="s">
        <v>74</v>
      </c>
      <c r="AD754" t="s">
        <v>74</v>
      </c>
      <c r="AE754" t="s">
        <v>74</v>
      </c>
      <c r="AF754" t="s">
        <v>74</v>
      </c>
      <c r="AG754">
        <v>35</v>
      </c>
      <c r="AH754">
        <v>15</v>
      </c>
      <c r="AI754">
        <v>17</v>
      </c>
      <c r="AJ754">
        <v>0</v>
      </c>
      <c r="AK754">
        <v>14</v>
      </c>
      <c r="AL754" t="s">
        <v>3933</v>
      </c>
      <c r="AM754" t="s">
        <v>3258</v>
      </c>
      <c r="AN754" t="s">
        <v>3934</v>
      </c>
      <c r="AO754" t="s">
        <v>9633</v>
      </c>
      <c r="AP754" t="s">
        <v>9634</v>
      </c>
      <c r="AQ754" t="s">
        <v>74</v>
      </c>
      <c r="AR754" t="s">
        <v>9625</v>
      </c>
      <c r="AS754" t="s">
        <v>9635</v>
      </c>
      <c r="AT754" t="s">
        <v>9636</v>
      </c>
      <c r="AU754">
        <v>2008</v>
      </c>
      <c r="AV754">
        <v>144</v>
      </c>
      <c r="AW754" t="s">
        <v>5676</v>
      </c>
      <c r="AX754" t="s">
        <v>74</v>
      </c>
      <c r="AY754" t="s">
        <v>74</v>
      </c>
      <c r="AZ754" t="s">
        <v>74</v>
      </c>
      <c r="BA754" t="s">
        <v>74</v>
      </c>
      <c r="BB754">
        <v>32</v>
      </c>
      <c r="BC754">
        <v>42</v>
      </c>
      <c r="BD754" t="s">
        <v>74</v>
      </c>
      <c r="BE754" t="s">
        <v>9677</v>
      </c>
      <c r="BF754" t="str">
        <f>HYPERLINK("http://dx.doi.org/10.1016/j.geoderma.2007.10.014","http://dx.doi.org/10.1016/j.geoderma.2007.10.014")</f>
        <v>http://dx.doi.org/10.1016/j.geoderma.2007.10.014</v>
      </c>
      <c r="BG754" t="s">
        <v>74</v>
      </c>
      <c r="BH754" t="s">
        <v>74</v>
      </c>
      <c r="BI754">
        <v>11</v>
      </c>
      <c r="BJ754" t="s">
        <v>3177</v>
      </c>
      <c r="BK754" t="s">
        <v>419</v>
      </c>
      <c r="BL754" t="s">
        <v>3178</v>
      </c>
      <c r="BM754" t="s">
        <v>9638</v>
      </c>
      <c r="BN754" t="s">
        <v>74</v>
      </c>
      <c r="BO754" t="s">
        <v>74</v>
      </c>
      <c r="BP754" t="s">
        <v>74</v>
      </c>
      <c r="BQ754" t="s">
        <v>74</v>
      </c>
      <c r="BR754" t="s">
        <v>101</v>
      </c>
      <c r="BS754" t="s">
        <v>9678</v>
      </c>
      <c r="BT754" t="str">
        <f>HYPERLINK("https%3A%2F%2Fwww.webofscience.com%2Fwos%2Fwoscc%2Ffull-record%2FWOS:000254473000004","View Full Record in Web of Science")</f>
        <v>View Full Record in Web of Science</v>
      </c>
    </row>
    <row r="755" spans="1:72" x14ac:dyDescent="0.15">
      <c r="A755" t="s">
        <v>72</v>
      </c>
      <c r="B755" t="s">
        <v>9679</v>
      </c>
      <c r="C755" t="s">
        <v>74</v>
      </c>
      <c r="D755" t="s">
        <v>74</v>
      </c>
      <c r="E755" t="s">
        <v>74</v>
      </c>
      <c r="F755" t="s">
        <v>9680</v>
      </c>
      <c r="G755" t="s">
        <v>74</v>
      </c>
      <c r="H755" t="s">
        <v>74</v>
      </c>
      <c r="I755" t="s">
        <v>9681</v>
      </c>
      <c r="J755" t="s">
        <v>9625</v>
      </c>
      <c r="K755" t="s">
        <v>74</v>
      </c>
      <c r="L755" t="s">
        <v>74</v>
      </c>
      <c r="M755" t="s">
        <v>78</v>
      </c>
      <c r="N755" t="s">
        <v>2737</v>
      </c>
      <c r="O755" t="s">
        <v>74</v>
      </c>
      <c r="P755" t="s">
        <v>74</v>
      </c>
      <c r="Q755" t="s">
        <v>74</v>
      </c>
      <c r="R755" t="s">
        <v>74</v>
      </c>
      <c r="S755" t="s">
        <v>74</v>
      </c>
      <c r="T755" t="s">
        <v>9682</v>
      </c>
      <c r="U755" t="s">
        <v>9683</v>
      </c>
      <c r="V755" t="s">
        <v>9684</v>
      </c>
      <c r="W755" t="s">
        <v>9685</v>
      </c>
      <c r="X755" t="s">
        <v>9686</v>
      </c>
      <c r="Y755" t="s">
        <v>9687</v>
      </c>
      <c r="Z755" t="s">
        <v>9688</v>
      </c>
      <c r="AA755" t="s">
        <v>9689</v>
      </c>
      <c r="AB755" t="s">
        <v>9690</v>
      </c>
      <c r="AC755" t="s">
        <v>74</v>
      </c>
      <c r="AD755" t="s">
        <v>74</v>
      </c>
      <c r="AE755" t="s">
        <v>74</v>
      </c>
      <c r="AF755" t="s">
        <v>74</v>
      </c>
      <c r="AG755">
        <v>46</v>
      </c>
      <c r="AH755">
        <v>83</v>
      </c>
      <c r="AI755">
        <v>90</v>
      </c>
      <c r="AJ755">
        <v>1</v>
      </c>
      <c r="AK755">
        <v>42</v>
      </c>
      <c r="AL755" t="s">
        <v>3257</v>
      </c>
      <c r="AM755" t="s">
        <v>3258</v>
      </c>
      <c r="AN755" t="s">
        <v>3259</v>
      </c>
      <c r="AO755" t="s">
        <v>9633</v>
      </c>
      <c r="AP755" t="s">
        <v>74</v>
      </c>
      <c r="AQ755" t="s">
        <v>74</v>
      </c>
      <c r="AR755" t="s">
        <v>9625</v>
      </c>
      <c r="AS755" t="s">
        <v>9635</v>
      </c>
      <c r="AT755" t="s">
        <v>9636</v>
      </c>
      <c r="AU755">
        <v>2008</v>
      </c>
      <c r="AV755">
        <v>144</v>
      </c>
      <c r="AW755" t="s">
        <v>5676</v>
      </c>
      <c r="AX755" t="s">
        <v>74</v>
      </c>
      <c r="AY755" t="s">
        <v>74</v>
      </c>
      <c r="AZ755" t="s">
        <v>74</v>
      </c>
      <c r="BA755" t="s">
        <v>74</v>
      </c>
      <c r="BB755">
        <v>50</v>
      </c>
      <c r="BC755">
        <v>65</v>
      </c>
      <c r="BD755" t="s">
        <v>74</v>
      </c>
      <c r="BE755" t="s">
        <v>9691</v>
      </c>
      <c r="BF755" t="str">
        <f>HYPERLINK("http://dx.doi.org/10.1016/j.geoderma.2007.10.008","http://dx.doi.org/10.1016/j.geoderma.2007.10.008")</f>
        <v>http://dx.doi.org/10.1016/j.geoderma.2007.10.008</v>
      </c>
      <c r="BG755" t="s">
        <v>74</v>
      </c>
      <c r="BH755" t="s">
        <v>74</v>
      </c>
      <c r="BI755">
        <v>16</v>
      </c>
      <c r="BJ755" t="s">
        <v>3177</v>
      </c>
      <c r="BK755" t="s">
        <v>419</v>
      </c>
      <c r="BL755" t="s">
        <v>3178</v>
      </c>
      <c r="BM755" t="s">
        <v>9638</v>
      </c>
      <c r="BN755" t="s">
        <v>74</v>
      </c>
      <c r="BO755" t="s">
        <v>3311</v>
      </c>
      <c r="BP755" t="s">
        <v>74</v>
      </c>
      <c r="BQ755" t="s">
        <v>74</v>
      </c>
      <c r="BR755" t="s">
        <v>101</v>
      </c>
      <c r="BS755" t="s">
        <v>9692</v>
      </c>
      <c r="BT755" t="str">
        <f>HYPERLINK("https%3A%2F%2Fwww.webofscience.com%2Fwos%2Fwoscc%2Ffull-record%2FWOS:000254473000006","View Full Record in Web of Science")</f>
        <v>View Full Record in Web of Science</v>
      </c>
    </row>
    <row r="756" spans="1:72" x14ac:dyDescent="0.15">
      <c r="A756" t="s">
        <v>72</v>
      </c>
      <c r="B756" t="s">
        <v>9693</v>
      </c>
      <c r="C756" t="s">
        <v>74</v>
      </c>
      <c r="D756" t="s">
        <v>74</v>
      </c>
      <c r="E756" t="s">
        <v>74</v>
      </c>
      <c r="F756" t="s">
        <v>9694</v>
      </c>
      <c r="G756" t="s">
        <v>74</v>
      </c>
      <c r="H756" t="s">
        <v>74</v>
      </c>
      <c r="I756" t="s">
        <v>9695</v>
      </c>
      <c r="J756" t="s">
        <v>9625</v>
      </c>
      <c r="K756" t="s">
        <v>74</v>
      </c>
      <c r="L756" t="s">
        <v>74</v>
      </c>
      <c r="M756" t="s">
        <v>78</v>
      </c>
      <c r="N756" t="s">
        <v>2737</v>
      </c>
      <c r="O756" t="s">
        <v>74</v>
      </c>
      <c r="P756" t="s">
        <v>74</v>
      </c>
      <c r="Q756" t="s">
        <v>74</v>
      </c>
      <c r="R756" t="s">
        <v>74</v>
      </c>
      <c r="S756" t="s">
        <v>74</v>
      </c>
      <c r="T756" t="s">
        <v>9696</v>
      </c>
      <c r="U756" t="s">
        <v>9697</v>
      </c>
      <c r="V756" t="s">
        <v>9698</v>
      </c>
      <c r="W756" t="s">
        <v>9699</v>
      </c>
      <c r="X756" t="s">
        <v>74</v>
      </c>
      <c r="Y756" t="s">
        <v>9700</v>
      </c>
      <c r="Z756" t="s">
        <v>9701</v>
      </c>
      <c r="AA756" t="s">
        <v>74</v>
      </c>
      <c r="AB756" t="s">
        <v>74</v>
      </c>
      <c r="AC756" t="s">
        <v>74</v>
      </c>
      <c r="AD756" t="s">
        <v>74</v>
      </c>
      <c r="AE756" t="s">
        <v>74</v>
      </c>
      <c r="AF756" t="s">
        <v>74</v>
      </c>
      <c r="AG756">
        <v>32</v>
      </c>
      <c r="AH756">
        <v>3</v>
      </c>
      <c r="AI756">
        <v>4</v>
      </c>
      <c r="AJ756">
        <v>0</v>
      </c>
      <c r="AK756">
        <v>8</v>
      </c>
      <c r="AL756" t="s">
        <v>3257</v>
      </c>
      <c r="AM756" t="s">
        <v>3258</v>
      </c>
      <c r="AN756" t="s">
        <v>3259</v>
      </c>
      <c r="AO756" t="s">
        <v>9633</v>
      </c>
      <c r="AP756" t="s">
        <v>9634</v>
      </c>
      <c r="AQ756" t="s">
        <v>74</v>
      </c>
      <c r="AR756" t="s">
        <v>9625</v>
      </c>
      <c r="AS756" t="s">
        <v>9635</v>
      </c>
      <c r="AT756" t="s">
        <v>9636</v>
      </c>
      <c r="AU756">
        <v>2008</v>
      </c>
      <c r="AV756">
        <v>144</v>
      </c>
      <c r="AW756" t="s">
        <v>5676</v>
      </c>
      <c r="AX756" t="s">
        <v>74</v>
      </c>
      <c r="AY756" t="s">
        <v>74</v>
      </c>
      <c r="AZ756" t="s">
        <v>74</v>
      </c>
      <c r="BA756" t="s">
        <v>74</v>
      </c>
      <c r="BB756">
        <v>66</v>
      </c>
      <c r="BC756">
        <v>72</v>
      </c>
      <c r="BD756" t="s">
        <v>74</v>
      </c>
      <c r="BE756" t="s">
        <v>9702</v>
      </c>
      <c r="BF756" t="str">
        <f>HYPERLINK("http://dx.doi.org/10.1016/j.geoderma.2007.10.009","http://dx.doi.org/10.1016/j.geoderma.2007.10.009")</f>
        <v>http://dx.doi.org/10.1016/j.geoderma.2007.10.009</v>
      </c>
      <c r="BG756" t="s">
        <v>74</v>
      </c>
      <c r="BH756" t="s">
        <v>74</v>
      </c>
      <c r="BI756">
        <v>7</v>
      </c>
      <c r="BJ756" t="s">
        <v>3177</v>
      </c>
      <c r="BK756" t="s">
        <v>419</v>
      </c>
      <c r="BL756" t="s">
        <v>3178</v>
      </c>
      <c r="BM756" t="s">
        <v>9638</v>
      </c>
      <c r="BN756" t="s">
        <v>74</v>
      </c>
      <c r="BO756" t="s">
        <v>74</v>
      </c>
      <c r="BP756" t="s">
        <v>74</v>
      </c>
      <c r="BQ756" t="s">
        <v>74</v>
      </c>
      <c r="BR756" t="s">
        <v>101</v>
      </c>
      <c r="BS756" t="s">
        <v>9703</v>
      </c>
      <c r="BT756" t="str">
        <f>HYPERLINK("https%3A%2F%2Fwww.webofscience.com%2Fwos%2Fwoscc%2Ffull-record%2FWOS:000254473000007","View Full Record in Web of Science")</f>
        <v>View Full Record in Web of Science</v>
      </c>
    </row>
    <row r="757" spans="1:72" x14ac:dyDescent="0.15">
      <c r="A757" t="s">
        <v>72</v>
      </c>
      <c r="B757" t="s">
        <v>9704</v>
      </c>
      <c r="C757" t="s">
        <v>74</v>
      </c>
      <c r="D757" t="s">
        <v>74</v>
      </c>
      <c r="E757" t="s">
        <v>74</v>
      </c>
      <c r="F757" t="s">
        <v>9705</v>
      </c>
      <c r="G757" t="s">
        <v>74</v>
      </c>
      <c r="H757" t="s">
        <v>74</v>
      </c>
      <c r="I757" t="s">
        <v>9706</v>
      </c>
      <c r="J757" t="s">
        <v>9625</v>
      </c>
      <c r="K757" t="s">
        <v>74</v>
      </c>
      <c r="L757" t="s">
        <v>74</v>
      </c>
      <c r="M757" t="s">
        <v>78</v>
      </c>
      <c r="N757" t="s">
        <v>2737</v>
      </c>
      <c r="O757" t="s">
        <v>74</v>
      </c>
      <c r="P757" t="s">
        <v>74</v>
      </c>
      <c r="Q757" t="s">
        <v>74</v>
      </c>
      <c r="R757" t="s">
        <v>74</v>
      </c>
      <c r="S757" t="s">
        <v>74</v>
      </c>
      <c r="T757" t="s">
        <v>9707</v>
      </c>
      <c r="U757" t="s">
        <v>9708</v>
      </c>
      <c r="V757" t="s">
        <v>9709</v>
      </c>
      <c r="W757" t="s">
        <v>9710</v>
      </c>
      <c r="X757" t="s">
        <v>9711</v>
      </c>
      <c r="Y757" t="s">
        <v>9712</v>
      </c>
      <c r="Z757" t="s">
        <v>9713</v>
      </c>
      <c r="AA757" t="s">
        <v>9714</v>
      </c>
      <c r="AB757" t="s">
        <v>9715</v>
      </c>
      <c r="AC757" t="s">
        <v>3667</v>
      </c>
      <c r="AD757" t="s">
        <v>2792</v>
      </c>
      <c r="AE757" t="s">
        <v>74</v>
      </c>
      <c r="AF757" t="s">
        <v>74</v>
      </c>
      <c r="AG757">
        <v>44</v>
      </c>
      <c r="AH757">
        <v>102</v>
      </c>
      <c r="AI757">
        <v>124</v>
      </c>
      <c r="AJ757">
        <v>1</v>
      </c>
      <c r="AK757">
        <v>50</v>
      </c>
      <c r="AL757" t="s">
        <v>3257</v>
      </c>
      <c r="AM757" t="s">
        <v>3258</v>
      </c>
      <c r="AN757" t="s">
        <v>3259</v>
      </c>
      <c r="AO757" t="s">
        <v>9633</v>
      </c>
      <c r="AP757" t="s">
        <v>74</v>
      </c>
      <c r="AQ757" t="s">
        <v>74</v>
      </c>
      <c r="AR757" t="s">
        <v>9625</v>
      </c>
      <c r="AS757" t="s">
        <v>9635</v>
      </c>
      <c r="AT757" t="s">
        <v>9636</v>
      </c>
      <c r="AU757">
        <v>2008</v>
      </c>
      <c r="AV757">
        <v>144</v>
      </c>
      <c r="AW757" t="s">
        <v>5676</v>
      </c>
      <c r="AX757" t="s">
        <v>74</v>
      </c>
      <c r="AY757" t="s">
        <v>74</v>
      </c>
      <c r="AZ757" t="s">
        <v>74</v>
      </c>
      <c r="BA757" t="s">
        <v>74</v>
      </c>
      <c r="BB757">
        <v>73</v>
      </c>
      <c r="BC757">
        <v>85</v>
      </c>
      <c r="BD757" t="s">
        <v>74</v>
      </c>
      <c r="BE757" t="s">
        <v>9716</v>
      </c>
      <c r="BF757" t="str">
        <f>HYPERLINK("http://dx.doi.org/10.1016/j.geoderma.2007.10.010","http://dx.doi.org/10.1016/j.geoderma.2007.10.010")</f>
        <v>http://dx.doi.org/10.1016/j.geoderma.2007.10.010</v>
      </c>
      <c r="BG757" t="s">
        <v>74</v>
      </c>
      <c r="BH757" t="s">
        <v>74</v>
      </c>
      <c r="BI757">
        <v>13</v>
      </c>
      <c r="BJ757" t="s">
        <v>3177</v>
      </c>
      <c r="BK757" t="s">
        <v>419</v>
      </c>
      <c r="BL757" t="s">
        <v>3178</v>
      </c>
      <c r="BM757" t="s">
        <v>9638</v>
      </c>
      <c r="BN757" t="s">
        <v>74</v>
      </c>
      <c r="BO757" t="s">
        <v>74</v>
      </c>
      <c r="BP757" t="s">
        <v>74</v>
      </c>
      <c r="BQ757" t="s">
        <v>74</v>
      </c>
      <c r="BR757" t="s">
        <v>101</v>
      </c>
      <c r="BS757" t="s">
        <v>9717</v>
      </c>
      <c r="BT757" t="str">
        <f>HYPERLINK("https%3A%2F%2Fwww.webofscience.com%2Fwos%2Fwoscc%2Ffull-record%2FWOS:000254473000008","View Full Record in Web of Science")</f>
        <v>View Full Record in Web of Science</v>
      </c>
    </row>
    <row r="758" spans="1:72" x14ac:dyDescent="0.15">
      <c r="A758" t="s">
        <v>72</v>
      </c>
      <c r="B758" t="s">
        <v>9718</v>
      </c>
      <c r="C758" t="s">
        <v>74</v>
      </c>
      <c r="D758" t="s">
        <v>74</v>
      </c>
      <c r="E758" t="s">
        <v>74</v>
      </c>
      <c r="F758" t="s">
        <v>9719</v>
      </c>
      <c r="G758" t="s">
        <v>74</v>
      </c>
      <c r="H758" t="s">
        <v>74</v>
      </c>
      <c r="I758" t="s">
        <v>9720</v>
      </c>
      <c r="J758" t="s">
        <v>9625</v>
      </c>
      <c r="K758" t="s">
        <v>74</v>
      </c>
      <c r="L758" t="s">
        <v>74</v>
      </c>
      <c r="M758" t="s">
        <v>78</v>
      </c>
      <c r="N758" t="s">
        <v>2737</v>
      </c>
      <c r="O758" t="s">
        <v>74</v>
      </c>
      <c r="P758" t="s">
        <v>74</v>
      </c>
      <c r="Q758" t="s">
        <v>74</v>
      </c>
      <c r="R758" t="s">
        <v>74</v>
      </c>
      <c r="S758" t="s">
        <v>74</v>
      </c>
      <c r="T758" t="s">
        <v>9721</v>
      </c>
      <c r="U758" t="s">
        <v>9722</v>
      </c>
      <c r="V758" t="s">
        <v>9723</v>
      </c>
      <c r="W758" t="s">
        <v>9724</v>
      </c>
      <c r="X758" t="s">
        <v>9725</v>
      </c>
      <c r="Y758" t="s">
        <v>9726</v>
      </c>
      <c r="Z758" t="s">
        <v>9727</v>
      </c>
      <c r="AA758" t="s">
        <v>9728</v>
      </c>
      <c r="AB758" t="s">
        <v>9729</v>
      </c>
      <c r="AC758" t="s">
        <v>9730</v>
      </c>
      <c r="AD758" t="s">
        <v>3031</v>
      </c>
      <c r="AE758" t="s">
        <v>74</v>
      </c>
      <c r="AF758" t="s">
        <v>74</v>
      </c>
      <c r="AG758">
        <v>32</v>
      </c>
      <c r="AH758">
        <v>11</v>
      </c>
      <c r="AI758">
        <v>12</v>
      </c>
      <c r="AJ758">
        <v>0</v>
      </c>
      <c r="AK758">
        <v>16</v>
      </c>
      <c r="AL758" t="s">
        <v>3257</v>
      </c>
      <c r="AM758" t="s">
        <v>3258</v>
      </c>
      <c r="AN758" t="s">
        <v>3259</v>
      </c>
      <c r="AO758" t="s">
        <v>9633</v>
      </c>
      <c r="AP758" t="s">
        <v>74</v>
      </c>
      <c r="AQ758" t="s">
        <v>74</v>
      </c>
      <c r="AR758" t="s">
        <v>9625</v>
      </c>
      <c r="AS758" t="s">
        <v>9635</v>
      </c>
      <c r="AT758" t="s">
        <v>9636</v>
      </c>
      <c r="AU758">
        <v>2008</v>
      </c>
      <c r="AV758">
        <v>144</v>
      </c>
      <c r="AW758" t="s">
        <v>5676</v>
      </c>
      <c r="AX758" t="s">
        <v>74</v>
      </c>
      <c r="AY758" t="s">
        <v>74</v>
      </c>
      <c r="AZ758" t="s">
        <v>74</v>
      </c>
      <c r="BA758" t="s">
        <v>74</v>
      </c>
      <c r="BB758">
        <v>86</v>
      </c>
      <c r="BC758">
        <v>92</v>
      </c>
      <c r="BD758" t="s">
        <v>74</v>
      </c>
      <c r="BE758" t="s">
        <v>9731</v>
      </c>
      <c r="BF758" t="str">
        <f>HYPERLINK("http://dx.doi.org/10.1016/j.geoderma.2007.10.016","http://dx.doi.org/10.1016/j.geoderma.2007.10.016")</f>
        <v>http://dx.doi.org/10.1016/j.geoderma.2007.10.016</v>
      </c>
      <c r="BG758" t="s">
        <v>74</v>
      </c>
      <c r="BH758" t="s">
        <v>74</v>
      </c>
      <c r="BI758">
        <v>7</v>
      </c>
      <c r="BJ758" t="s">
        <v>3177</v>
      </c>
      <c r="BK758" t="s">
        <v>419</v>
      </c>
      <c r="BL758" t="s">
        <v>3178</v>
      </c>
      <c r="BM758" t="s">
        <v>9638</v>
      </c>
      <c r="BN758" t="s">
        <v>74</v>
      </c>
      <c r="BO758" t="s">
        <v>74</v>
      </c>
      <c r="BP758" t="s">
        <v>74</v>
      </c>
      <c r="BQ758" t="s">
        <v>74</v>
      </c>
      <c r="BR758" t="s">
        <v>101</v>
      </c>
      <c r="BS758" t="s">
        <v>9732</v>
      </c>
      <c r="BT758" t="str">
        <f>HYPERLINK("https%3A%2F%2Fwww.webofscience.com%2Fwos%2Fwoscc%2Ffull-record%2FWOS:000254473000009","View Full Record in Web of Science")</f>
        <v>View Full Record in Web of Science</v>
      </c>
    </row>
    <row r="759" spans="1:72" x14ac:dyDescent="0.15">
      <c r="A759" t="s">
        <v>72</v>
      </c>
      <c r="B759" t="s">
        <v>9733</v>
      </c>
      <c r="C759" t="s">
        <v>74</v>
      </c>
      <c r="D759" t="s">
        <v>74</v>
      </c>
      <c r="E759" t="s">
        <v>74</v>
      </c>
      <c r="F759" t="s">
        <v>9734</v>
      </c>
      <c r="G759" t="s">
        <v>74</v>
      </c>
      <c r="H759" t="s">
        <v>74</v>
      </c>
      <c r="I759" t="s">
        <v>9735</v>
      </c>
      <c r="J759" t="s">
        <v>9625</v>
      </c>
      <c r="K759" t="s">
        <v>74</v>
      </c>
      <c r="L759" t="s">
        <v>74</v>
      </c>
      <c r="M759" t="s">
        <v>78</v>
      </c>
      <c r="N759" t="s">
        <v>2737</v>
      </c>
      <c r="O759" t="s">
        <v>74</v>
      </c>
      <c r="P759" t="s">
        <v>74</v>
      </c>
      <c r="Q759" t="s">
        <v>74</v>
      </c>
      <c r="R759" t="s">
        <v>74</v>
      </c>
      <c r="S759" t="s">
        <v>74</v>
      </c>
      <c r="T759" t="s">
        <v>9736</v>
      </c>
      <c r="U759" t="s">
        <v>9737</v>
      </c>
      <c r="V759" t="s">
        <v>9738</v>
      </c>
      <c r="W759" t="s">
        <v>9739</v>
      </c>
      <c r="X759" t="s">
        <v>9740</v>
      </c>
      <c r="Y759" t="s">
        <v>9741</v>
      </c>
      <c r="Z759" t="s">
        <v>9742</v>
      </c>
      <c r="AA759" t="s">
        <v>9743</v>
      </c>
      <c r="AB759" t="s">
        <v>9744</v>
      </c>
      <c r="AC759" t="s">
        <v>74</v>
      </c>
      <c r="AD759" t="s">
        <v>74</v>
      </c>
      <c r="AE759" t="s">
        <v>74</v>
      </c>
      <c r="AF759" t="s">
        <v>74</v>
      </c>
      <c r="AG759">
        <v>36</v>
      </c>
      <c r="AH759">
        <v>83</v>
      </c>
      <c r="AI759">
        <v>88</v>
      </c>
      <c r="AJ759">
        <v>1</v>
      </c>
      <c r="AK759">
        <v>25</v>
      </c>
      <c r="AL759" t="s">
        <v>3257</v>
      </c>
      <c r="AM759" t="s">
        <v>3258</v>
      </c>
      <c r="AN759" t="s">
        <v>3259</v>
      </c>
      <c r="AO759" t="s">
        <v>9633</v>
      </c>
      <c r="AP759" t="s">
        <v>74</v>
      </c>
      <c r="AQ759" t="s">
        <v>74</v>
      </c>
      <c r="AR759" t="s">
        <v>9625</v>
      </c>
      <c r="AS759" t="s">
        <v>9635</v>
      </c>
      <c r="AT759" t="s">
        <v>9636</v>
      </c>
      <c r="AU759">
        <v>2008</v>
      </c>
      <c r="AV759">
        <v>144</v>
      </c>
      <c r="AW759" t="s">
        <v>5676</v>
      </c>
      <c r="AX759" t="s">
        <v>74</v>
      </c>
      <c r="AY759" t="s">
        <v>74</v>
      </c>
      <c r="AZ759" t="s">
        <v>74</v>
      </c>
      <c r="BA759" t="s">
        <v>74</v>
      </c>
      <c r="BB759">
        <v>104</v>
      </c>
      <c r="BC759">
        <v>115</v>
      </c>
      <c r="BD759" t="s">
        <v>74</v>
      </c>
      <c r="BE759" t="s">
        <v>9745</v>
      </c>
      <c r="BF759" t="str">
        <f>HYPERLINK("http://dx.doi.org/10.1016/j.geoderma.2007.10.018","http://dx.doi.org/10.1016/j.geoderma.2007.10.018")</f>
        <v>http://dx.doi.org/10.1016/j.geoderma.2007.10.018</v>
      </c>
      <c r="BG759" t="s">
        <v>74</v>
      </c>
      <c r="BH759" t="s">
        <v>74</v>
      </c>
      <c r="BI759">
        <v>12</v>
      </c>
      <c r="BJ759" t="s">
        <v>3177</v>
      </c>
      <c r="BK759" t="s">
        <v>419</v>
      </c>
      <c r="BL759" t="s">
        <v>3178</v>
      </c>
      <c r="BM759" t="s">
        <v>9638</v>
      </c>
      <c r="BN759" t="s">
        <v>74</v>
      </c>
      <c r="BO759" t="s">
        <v>74</v>
      </c>
      <c r="BP759" t="s">
        <v>74</v>
      </c>
      <c r="BQ759" t="s">
        <v>74</v>
      </c>
      <c r="BR759" t="s">
        <v>101</v>
      </c>
      <c r="BS759" t="s">
        <v>9746</v>
      </c>
      <c r="BT759" t="str">
        <f>HYPERLINK("https%3A%2F%2Fwww.webofscience.com%2Fwos%2Fwoscc%2Ffull-record%2FWOS:000254473000011","View Full Record in Web of Science")</f>
        <v>View Full Record in Web of Science</v>
      </c>
    </row>
    <row r="760" spans="1:72" x14ac:dyDescent="0.15">
      <c r="A760" t="s">
        <v>72</v>
      </c>
      <c r="B760" t="s">
        <v>9747</v>
      </c>
      <c r="C760" t="s">
        <v>74</v>
      </c>
      <c r="D760" t="s">
        <v>74</v>
      </c>
      <c r="E760" t="s">
        <v>74</v>
      </c>
      <c r="F760" t="s">
        <v>9748</v>
      </c>
      <c r="G760" t="s">
        <v>74</v>
      </c>
      <c r="H760" t="s">
        <v>74</v>
      </c>
      <c r="I760" t="s">
        <v>9749</v>
      </c>
      <c r="J760" t="s">
        <v>9625</v>
      </c>
      <c r="K760" t="s">
        <v>74</v>
      </c>
      <c r="L760" t="s">
        <v>74</v>
      </c>
      <c r="M760" t="s">
        <v>78</v>
      </c>
      <c r="N760" t="s">
        <v>2737</v>
      </c>
      <c r="O760" t="s">
        <v>74</v>
      </c>
      <c r="P760" t="s">
        <v>74</v>
      </c>
      <c r="Q760" t="s">
        <v>74</v>
      </c>
      <c r="R760" t="s">
        <v>74</v>
      </c>
      <c r="S760" t="s">
        <v>74</v>
      </c>
      <c r="T760" t="s">
        <v>9750</v>
      </c>
      <c r="U760" t="s">
        <v>9751</v>
      </c>
      <c r="V760" t="s">
        <v>9752</v>
      </c>
      <c r="W760" t="s">
        <v>9753</v>
      </c>
      <c r="X760" t="s">
        <v>9754</v>
      </c>
      <c r="Y760" t="s">
        <v>9755</v>
      </c>
      <c r="Z760" t="s">
        <v>9756</v>
      </c>
      <c r="AA760" t="s">
        <v>9757</v>
      </c>
      <c r="AB760" t="s">
        <v>9758</v>
      </c>
      <c r="AC760" t="s">
        <v>74</v>
      </c>
      <c r="AD760" t="s">
        <v>74</v>
      </c>
      <c r="AE760" t="s">
        <v>74</v>
      </c>
      <c r="AF760" t="s">
        <v>74</v>
      </c>
      <c r="AG760">
        <v>32</v>
      </c>
      <c r="AH760">
        <v>117</v>
      </c>
      <c r="AI760">
        <v>123</v>
      </c>
      <c r="AJ760">
        <v>0</v>
      </c>
      <c r="AK760">
        <v>24</v>
      </c>
      <c r="AL760" t="s">
        <v>3933</v>
      </c>
      <c r="AM760" t="s">
        <v>3258</v>
      </c>
      <c r="AN760" t="s">
        <v>3934</v>
      </c>
      <c r="AO760" t="s">
        <v>9633</v>
      </c>
      <c r="AP760" t="s">
        <v>9634</v>
      </c>
      <c r="AQ760" t="s">
        <v>74</v>
      </c>
      <c r="AR760" t="s">
        <v>9625</v>
      </c>
      <c r="AS760" t="s">
        <v>9635</v>
      </c>
      <c r="AT760" t="s">
        <v>9636</v>
      </c>
      <c r="AU760">
        <v>2008</v>
      </c>
      <c r="AV760">
        <v>144</v>
      </c>
      <c r="AW760" t="s">
        <v>5676</v>
      </c>
      <c r="AX760" t="s">
        <v>74</v>
      </c>
      <c r="AY760" t="s">
        <v>74</v>
      </c>
      <c r="AZ760" t="s">
        <v>74</v>
      </c>
      <c r="BA760" t="s">
        <v>74</v>
      </c>
      <c r="BB760">
        <v>116</v>
      </c>
      <c r="BC760">
        <v>122</v>
      </c>
      <c r="BD760" t="s">
        <v>74</v>
      </c>
      <c r="BE760" t="s">
        <v>9759</v>
      </c>
      <c r="BF760" t="str">
        <f>HYPERLINK("http://dx.doi.org/10.1016/j.geoderma.2007.10.019","http://dx.doi.org/10.1016/j.geoderma.2007.10.019")</f>
        <v>http://dx.doi.org/10.1016/j.geoderma.2007.10.019</v>
      </c>
      <c r="BG760" t="s">
        <v>74</v>
      </c>
      <c r="BH760" t="s">
        <v>74</v>
      </c>
      <c r="BI760">
        <v>7</v>
      </c>
      <c r="BJ760" t="s">
        <v>3177</v>
      </c>
      <c r="BK760" t="s">
        <v>419</v>
      </c>
      <c r="BL760" t="s">
        <v>3178</v>
      </c>
      <c r="BM760" t="s">
        <v>9638</v>
      </c>
      <c r="BN760" t="s">
        <v>74</v>
      </c>
      <c r="BO760" t="s">
        <v>74</v>
      </c>
      <c r="BP760" t="s">
        <v>74</v>
      </c>
      <c r="BQ760" t="s">
        <v>74</v>
      </c>
      <c r="BR760" t="s">
        <v>101</v>
      </c>
      <c r="BS760" t="s">
        <v>9760</v>
      </c>
      <c r="BT760" t="str">
        <f>HYPERLINK("https%3A%2F%2Fwww.webofscience.com%2Fwos%2Fwoscc%2Ffull-record%2FWOS:000254473000012","View Full Record in Web of Science")</f>
        <v>View Full Record in Web of Science</v>
      </c>
    </row>
    <row r="761" spans="1:72" x14ac:dyDescent="0.15">
      <c r="A761" t="s">
        <v>72</v>
      </c>
      <c r="B761" t="s">
        <v>9761</v>
      </c>
      <c r="C761" t="s">
        <v>74</v>
      </c>
      <c r="D761" t="s">
        <v>74</v>
      </c>
      <c r="E761" t="s">
        <v>74</v>
      </c>
      <c r="F761" t="s">
        <v>9762</v>
      </c>
      <c r="G761" t="s">
        <v>74</v>
      </c>
      <c r="H761" t="s">
        <v>74</v>
      </c>
      <c r="I761" t="s">
        <v>9763</v>
      </c>
      <c r="J761" t="s">
        <v>9764</v>
      </c>
      <c r="K761" t="s">
        <v>74</v>
      </c>
      <c r="L761" t="s">
        <v>74</v>
      </c>
      <c r="M761" t="s">
        <v>78</v>
      </c>
      <c r="N761" t="s">
        <v>2737</v>
      </c>
      <c r="O761" t="s">
        <v>74</v>
      </c>
      <c r="P761" t="s">
        <v>74</v>
      </c>
      <c r="Q761" t="s">
        <v>74</v>
      </c>
      <c r="R761" t="s">
        <v>74</v>
      </c>
      <c r="S761" t="s">
        <v>74</v>
      </c>
      <c r="T761" t="s">
        <v>9765</v>
      </c>
      <c r="U761" t="s">
        <v>9766</v>
      </c>
      <c r="V761" t="s">
        <v>9767</v>
      </c>
      <c r="W761" t="s">
        <v>9768</v>
      </c>
      <c r="X761" t="s">
        <v>9769</v>
      </c>
      <c r="Y761" t="s">
        <v>9770</v>
      </c>
      <c r="Z761" t="s">
        <v>9771</v>
      </c>
      <c r="AA761" t="s">
        <v>9772</v>
      </c>
      <c r="AB761" t="s">
        <v>9773</v>
      </c>
      <c r="AC761" t="s">
        <v>74</v>
      </c>
      <c r="AD761" t="s">
        <v>74</v>
      </c>
      <c r="AE761" t="s">
        <v>74</v>
      </c>
      <c r="AF761" t="s">
        <v>74</v>
      </c>
      <c r="AG761">
        <v>27</v>
      </c>
      <c r="AH761">
        <v>40</v>
      </c>
      <c r="AI761">
        <v>47</v>
      </c>
      <c r="AJ761">
        <v>3</v>
      </c>
      <c r="AK761">
        <v>32</v>
      </c>
      <c r="AL761" t="s">
        <v>5781</v>
      </c>
      <c r="AM761" t="s">
        <v>5782</v>
      </c>
      <c r="AN761" t="s">
        <v>5783</v>
      </c>
      <c r="AO761" t="s">
        <v>9774</v>
      </c>
      <c r="AP761" t="s">
        <v>74</v>
      </c>
      <c r="AQ761" t="s">
        <v>74</v>
      </c>
      <c r="AR761" t="s">
        <v>9775</v>
      </c>
      <c r="AS761" t="s">
        <v>9776</v>
      </c>
      <c r="AT761" t="s">
        <v>9777</v>
      </c>
      <c r="AU761">
        <v>2008</v>
      </c>
      <c r="AV761">
        <v>367</v>
      </c>
      <c r="AW761">
        <v>3</v>
      </c>
      <c r="AX761" t="s">
        <v>74</v>
      </c>
      <c r="AY761" t="s">
        <v>74</v>
      </c>
      <c r="AZ761" t="s">
        <v>74</v>
      </c>
      <c r="BA761" t="s">
        <v>74</v>
      </c>
      <c r="BB761">
        <v>635</v>
      </c>
      <c r="BC761">
        <v>641</v>
      </c>
      <c r="BD761" t="s">
        <v>74</v>
      </c>
      <c r="BE761" t="s">
        <v>9778</v>
      </c>
      <c r="BF761" t="str">
        <f>HYPERLINK("http://dx.doi.org/10.1016/j.bbrc.2007.12.176","http://dx.doi.org/10.1016/j.bbrc.2007.12.176")</f>
        <v>http://dx.doi.org/10.1016/j.bbrc.2007.12.176</v>
      </c>
      <c r="BG761" t="s">
        <v>74</v>
      </c>
      <c r="BH761" t="s">
        <v>74</v>
      </c>
      <c r="BI761">
        <v>7</v>
      </c>
      <c r="BJ761" t="s">
        <v>9779</v>
      </c>
      <c r="BK761" t="s">
        <v>419</v>
      </c>
      <c r="BL761" t="s">
        <v>9779</v>
      </c>
      <c r="BM761" t="s">
        <v>9780</v>
      </c>
      <c r="BN761">
        <v>18187041</v>
      </c>
      <c r="BO761" t="s">
        <v>74</v>
      </c>
      <c r="BP761" t="s">
        <v>74</v>
      </c>
      <c r="BQ761" t="s">
        <v>74</v>
      </c>
      <c r="BR761" t="s">
        <v>101</v>
      </c>
      <c r="BS761" t="s">
        <v>9781</v>
      </c>
      <c r="BT761" t="str">
        <f>HYPERLINK("https%3A%2F%2Fwww.webofscience.com%2Fwos%2Fwoscc%2Ffull-record%2FWOS:000253013000020","View Full Record in Web of Science")</f>
        <v>View Full Record in Web of Science</v>
      </c>
    </row>
    <row r="762" spans="1:72" x14ac:dyDescent="0.15">
      <c r="A762" t="s">
        <v>72</v>
      </c>
      <c r="B762" t="s">
        <v>9782</v>
      </c>
      <c r="C762" t="s">
        <v>74</v>
      </c>
      <c r="D762" t="s">
        <v>74</v>
      </c>
      <c r="E762" t="s">
        <v>74</v>
      </c>
      <c r="F762" t="s">
        <v>9783</v>
      </c>
      <c r="G762" t="s">
        <v>74</v>
      </c>
      <c r="H762" t="s">
        <v>74</v>
      </c>
      <c r="I762" t="s">
        <v>9784</v>
      </c>
      <c r="J762" t="s">
        <v>3432</v>
      </c>
      <c r="K762" t="s">
        <v>74</v>
      </c>
      <c r="L762" t="s">
        <v>74</v>
      </c>
      <c r="M762" t="s">
        <v>78</v>
      </c>
      <c r="N762" t="s">
        <v>2737</v>
      </c>
      <c r="O762" t="s">
        <v>74</v>
      </c>
      <c r="P762" t="s">
        <v>74</v>
      </c>
      <c r="Q762" t="s">
        <v>74</v>
      </c>
      <c r="R762" t="s">
        <v>74</v>
      </c>
      <c r="S762" t="s">
        <v>74</v>
      </c>
      <c r="T762" t="s">
        <v>74</v>
      </c>
      <c r="U762" t="s">
        <v>9785</v>
      </c>
      <c r="V762" t="s">
        <v>9786</v>
      </c>
      <c r="W762" t="s">
        <v>9787</v>
      </c>
      <c r="X762" t="s">
        <v>9788</v>
      </c>
      <c r="Y762" t="s">
        <v>9789</v>
      </c>
      <c r="Z762" t="s">
        <v>9790</v>
      </c>
      <c r="AA762" t="s">
        <v>3584</v>
      </c>
      <c r="AB762" t="s">
        <v>9791</v>
      </c>
      <c r="AC762" t="s">
        <v>9792</v>
      </c>
      <c r="AD762" t="s">
        <v>9666</v>
      </c>
      <c r="AE762" t="s">
        <v>74</v>
      </c>
      <c r="AF762" t="s">
        <v>74</v>
      </c>
      <c r="AG762">
        <v>84</v>
      </c>
      <c r="AH762">
        <v>597</v>
      </c>
      <c r="AI762">
        <v>672</v>
      </c>
      <c r="AJ762">
        <v>5</v>
      </c>
      <c r="AK762">
        <v>155</v>
      </c>
      <c r="AL762" t="s">
        <v>3280</v>
      </c>
      <c r="AM762" t="s">
        <v>3281</v>
      </c>
      <c r="AN762" t="s">
        <v>3282</v>
      </c>
      <c r="AO762" t="s">
        <v>3439</v>
      </c>
      <c r="AP762" t="s">
        <v>3440</v>
      </c>
      <c r="AQ762" t="s">
        <v>74</v>
      </c>
      <c r="AR762" t="s">
        <v>3441</v>
      </c>
      <c r="AS762" t="s">
        <v>3442</v>
      </c>
      <c r="AT762" t="s">
        <v>9777</v>
      </c>
      <c r="AU762">
        <v>2008</v>
      </c>
      <c r="AV762">
        <v>113</v>
      </c>
      <c r="AW762" t="s">
        <v>9565</v>
      </c>
      <c r="AX762" t="s">
        <v>74</v>
      </c>
      <c r="AY762" t="s">
        <v>74</v>
      </c>
      <c r="AZ762" t="s">
        <v>74</v>
      </c>
      <c r="BA762" t="s">
        <v>74</v>
      </c>
      <c r="BB762" t="s">
        <v>74</v>
      </c>
      <c r="BC762" t="s">
        <v>74</v>
      </c>
      <c r="BD762" t="s">
        <v>9793</v>
      </c>
      <c r="BE762" t="s">
        <v>9794</v>
      </c>
      <c r="BF762" t="str">
        <f>HYPERLINK("http://dx.doi.org/10.1029/2007JC004269","http://dx.doi.org/10.1029/2007JC004269")</f>
        <v>http://dx.doi.org/10.1029/2007JC004269</v>
      </c>
      <c r="BG762" t="s">
        <v>74</v>
      </c>
      <c r="BH762" t="s">
        <v>74</v>
      </c>
      <c r="BI762">
        <v>20</v>
      </c>
      <c r="BJ762" t="s">
        <v>3447</v>
      </c>
      <c r="BK762" t="s">
        <v>419</v>
      </c>
      <c r="BL762" t="s">
        <v>3447</v>
      </c>
      <c r="BM762" t="s">
        <v>9795</v>
      </c>
      <c r="BN762" t="s">
        <v>74</v>
      </c>
      <c r="BO762" t="s">
        <v>3110</v>
      </c>
      <c r="BP762" t="s">
        <v>74</v>
      </c>
      <c r="BQ762" t="s">
        <v>74</v>
      </c>
      <c r="BR762" t="s">
        <v>101</v>
      </c>
      <c r="BS762" t="s">
        <v>9796</v>
      </c>
      <c r="BT762" t="str">
        <f>HYPERLINK("https%3A%2F%2Fwww.webofscience.com%2Fwos%2Fwoscc%2Ffull-record%2FWOS:000254167600003","View Full Record in Web of Science")</f>
        <v>View Full Record in Web of Science</v>
      </c>
    </row>
    <row r="763" spans="1:72" x14ac:dyDescent="0.15">
      <c r="A763" t="s">
        <v>72</v>
      </c>
      <c r="B763" t="s">
        <v>9797</v>
      </c>
      <c r="C763" t="s">
        <v>74</v>
      </c>
      <c r="D763" t="s">
        <v>74</v>
      </c>
      <c r="E763" t="s">
        <v>74</v>
      </c>
      <c r="F763" t="s">
        <v>9798</v>
      </c>
      <c r="G763" t="s">
        <v>74</v>
      </c>
      <c r="H763" t="s">
        <v>74</v>
      </c>
      <c r="I763" t="s">
        <v>9799</v>
      </c>
      <c r="J763" t="s">
        <v>5560</v>
      </c>
      <c r="K763" t="s">
        <v>74</v>
      </c>
      <c r="L763" t="s">
        <v>74</v>
      </c>
      <c r="M763" t="s">
        <v>78</v>
      </c>
      <c r="N763" t="s">
        <v>2737</v>
      </c>
      <c r="O763" t="s">
        <v>74</v>
      </c>
      <c r="P763" t="s">
        <v>74</v>
      </c>
      <c r="Q763" t="s">
        <v>74</v>
      </c>
      <c r="R763" t="s">
        <v>74</v>
      </c>
      <c r="S763" t="s">
        <v>74</v>
      </c>
      <c r="T763" t="s">
        <v>74</v>
      </c>
      <c r="U763" t="s">
        <v>9800</v>
      </c>
      <c r="V763" t="s">
        <v>9801</v>
      </c>
      <c r="W763" t="s">
        <v>9802</v>
      </c>
      <c r="X763" t="s">
        <v>9803</v>
      </c>
      <c r="Y763" t="s">
        <v>9804</v>
      </c>
      <c r="Z763" t="s">
        <v>9805</v>
      </c>
      <c r="AA763" t="s">
        <v>9806</v>
      </c>
      <c r="AB763" t="s">
        <v>9807</v>
      </c>
      <c r="AC763" t="s">
        <v>74</v>
      </c>
      <c r="AD763" t="s">
        <v>74</v>
      </c>
      <c r="AE763" t="s">
        <v>74</v>
      </c>
      <c r="AF763" t="s">
        <v>74</v>
      </c>
      <c r="AG763">
        <v>44</v>
      </c>
      <c r="AH763">
        <v>13</v>
      </c>
      <c r="AI763">
        <v>15</v>
      </c>
      <c r="AJ763">
        <v>0</v>
      </c>
      <c r="AK763">
        <v>4</v>
      </c>
      <c r="AL763" t="s">
        <v>3280</v>
      </c>
      <c r="AM763" t="s">
        <v>3281</v>
      </c>
      <c r="AN763" t="s">
        <v>3282</v>
      </c>
      <c r="AO763" t="s">
        <v>5569</v>
      </c>
      <c r="AP763" t="s">
        <v>5570</v>
      </c>
      <c r="AQ763" t="s">
        <v>74</v>
      </c>
      <c r="AR763" t="s">
        <v>5571</v>
      </c>
      <c r="AS763" t="s">
        <v>5572</v>
      </c>
      <c r="AT763" t="s">
        <v>9808</v>
      </c>
      <c r="AU763">
        <v>2008</v>
      </c>
      <c r="AV763">
        <v>113</v>
      </c>
      <c r="AW763" t="s">
        <v>9809</v>
      </c>
      <c r="AX763" t="s">
        <v>74</v>
      </c>
      <c r="AY763" t="s">
        <v>74</v>
      </c>
      <c r="AZ763" t="s">
        <v>74</v>
      </c>
      <c r="BA763" t="s">
        <v>74</v>
      </c>
      <c r="BB763" t="s">
        <v>74</v>
      </c>
      <c r="BC763" t="s">
        <v>74</v>
      </c>
      <c r="BD763" t="s">
        <v>9810</v>
      </c>
      <c r="BE763" t="s">
        <v>9811</v>
      </c>
      <c r="BF763" t="str">
        <f>HYPERLINK("http://dx.doi.org/10.1029/2006JF000708","http://dx.doi.org/10.1029/2006JF000708")</f>
        <v>http://dx.doi.org/10.1029/2006JF000708</v>
      </c>
      <c r="BG763" t="s">
        <v>74</v>
      </c>
      <c r="BH763" t="s">
        <v>74</v>
      </c>
      <c r="BI763">
        <v>18</v>
      </c>
      <c r="BJ763" t="s">
        <v>3093</v>
      </c>
      <c r="BK763" t="s">
        <v>419</v>
      </c>
      <c r="BL763" t="s">
        <v>3094</v>
      </c>
      <c r="BM763" t="s">
        <v>9812</v>
      </c>
      <c r="BN763" t="s">
        <v>74</v>
      </c>
      <c r="BO763" t="s">
        <v>3290</v>
      </c>
      <c r="BP763" t="s">
        <v>74</v>
      </c>
      <c r="BQ763" t="s">
        <v>74</v>
      </c>
      <c r="BR763" t="s">
        <v>101</v>
      </c>
      <c r="BS763" t="s">
        <v>9813</v>
      </c>
      <c r="BT763" t="str">
        <f>HYPERLINK("https%3A%2F%2Fwww.webofscience.com%2Fwos%2Fwoscc%2Ffull-record%2FWOS:000254166600001","View Full Record in Web of Science")</f>
        <v>View Full Record in Web of Science</v>
      </c>
    </row>
    <row r="764" spans="1:72" x14ac:dyDescent="0.15">
      <c r="A764" t="s">
        <v>72</v>
      </c>
      <c r="B764" t="s">
        <v>9814</v>
      </c>
      <c r="C764" t="s">
        <v>74</v>
      </c>
      <c r="D764" t="s">
        <v>74</v>
      </c>
      <c r="E764" t="s">
        <v>74</v>
      </c>
      <c r="F764" t="s">
        <v>9815</v>
      </c>
      <c r="G764" t="s">
        <v>74</v>
      </c>
      <c r="H764" t="s">
        <v>74</v>
      </c>
      <c r="I764" t="s">
        <v>9816</v>
      </c>
      <c r="J764" t="s">
        <v>7310</v>
      </c>
      <c r="K764" t="s">
        <v>74</v>
      </c>
      <c r="L764" t="s">
        <v>74</v>
      </c>
      <c r="M764" t="s">
        <v>78</v>
      </c>
      <c r="N764" t="s">
        <v>2958</v>
      </c>
      <c r="O764" t="s">
        <v>74</v>
      </c>
      <c r="P764" t="s">
        <v>74</v>
      </c>
      <c r="Q764" t="s">
        <v>74</v>
      </c>
      <c r="R764" t="s">
        <v>74</v>
      </c>
      <c r="S764" t="s">
        <v>74</v>
      </c>
      <c r="T764" t="s">
        <v>74</v>
      </c>
      <c r="U764" t="s">
        <v>9817</v>
      </c>
      <c r="V764" t="s">
        <v>9818</v>
      </c>
      <c r="W764" t="s">
        <v>9819</v>
      </c>
      <c r="X764" t="s">
        <v>9820</v>
      </c>
      <c r="Y764" t="s">
        <v>9821</v>
      </c>
      <c r="Z764" t="s">
        <v>9822</v>
      </c>
      <c r="AA764" t="s">
        <v>9823</v>
      </c>
      <c r="AB764" t="s">
        <v>9824</v>
      </c>
      <c r="AC764" t="s">
        <v>9825</v>
      </c>
      <c r="AD764" t="s">
        <v>9826</v>
      </c>
      <c r="AE764" t="s">
        <v>74</v>
      </c>
      <c r="AF764" t="s">
        <v>74</v>
      </c>
      <c r="AG764">
        <v>92</v>
      </c>
      <c r="AH764">
        <v>36</v>
      </c>
      <c r="AI764">
        <v>39</v>
      </c>
      <c r="AJ764">
        <v>1</v>
      </c>
      <c r="AK764">
        <v>9</v>
      </c>
      <c r="AL764" t="s">
        <v>3280</v>
      </c>
      <c r="AM764" t="s">
        <v>3281</v>
      </c>
      <c r="AN764" t="s">
        <v>3282</v>
      </c>
      <c r="AO764" t="s">
        <v>7319</v>
      </c>
      <c r="AP764" t="s">
        <v>7320</v>
      </c>
      <c r="AQ764" t="s">
        <v>74</v>
      </c>
      <c r="AR764" t="s">
        <v>7321</v>
      </c>
      <c r="AS764" t="s">
        <v>7322</v>
      </c>
      <c r="AT764" t="s">
        <v>9827</v>
      </c>
      <c r="AU764">
        <v>2008</v>
      </c>
      <c r="AV764">
        <v>46</v>
      </c>
      <c r="AW764">
        <v>1</v>
      </c>
      <c r="AX764" t="s">
        <v>74</v>
      </c>
      <c r="AY764" t="s">
        <v>74</v>
      </c>
      <c r="AZ764" t="s">
        <v>74</v>
      </c>
      <c r="BA764" t="s">
        <v>74</v>
      </c>
      <c r="BB764" t="s">
        <v>74</v>
      </c>
      <c r="BC764" t="s">
        <v>74</v>
      </c>
      <c r="BD764" t="s">
        <v>9828</v>
      </c>
      <c r="BE764" t="s">
        <v>9829</v>
      </c>
      <c r="BF764" t="str">
        <f>HYPERLINK("http://dx.doi.org/10.1029/2007RG000223","http://dx.doi.org/10.1029/2007RG000223")</f>
        <v>http://dx.doi.org/10.1029/2007RG000223</v>
      </c>
      <c r="BG764" t="s">
        <v>74</v>
      </c>
      <c r="BH764" t="s">
        <v>74</v>
      </c>
      <c r="BI764">
        <v>27</v>
      </c>
      <c r="BJ764" t="s">
        <v>98</v>
      </c>
      <c r="BK764" t="s">
        <v>419</v>
      </c>
      <c r="BL764" t="s">
        <v>98</v>
      </c>
      <c r="BM764" t="s">
        <v>9830</v>
      </c>
      <c r="BN764" t="s">
        <v>74</v>
      </c>
      <c r="BO764" t="s">
        <v>4870</v>
      </c>
      <c r="BP764" t="s">
        <v>74</v>
      </c>
      <c r="BQ764" t="s">
        <v>74</v>
      </c>
      <c r="BR764" t="s">
        <v>101</v>
      </c>
      <c r="BS764" t="s">
        <v>9831</v>
      </c>
      <c r="BT764" t="str">
        <f>HYPERLINK("https%3A%2F%2Fwww.webofscience.com%2Fwos%2Fwoscc%2Ffull-record%2FWOS:000254169600001","View Full Record in Web of Science")</f>
        <v>View Full Record in Web of Science</v>
      </c>
    </row>
    <row r="765" spans="1:72" x14ac:dyDescent="0.15">
      <c r="A765" t="s">
        <v>72</v>
      </c>
      <c r="B765" t="s">
        <v>9832</v>
      </c>
      <c r="C765" t="s">
        <v>74</v>
      </c>
      <c r="D765" t="s">
        <v>74</v>
      </c>
      <c r="E765" t="s">
        <v>74</v>
      </c>
      <c r="F765" t="s">
        <v>9833</v>
      </c>
      <c r="G765" t="s">
        <v>74</v>
      </c>
      <c r="H765" t="s">
        <v>74</v>
      </c>
      <c r="I765" t="s">
        <v>9834</v>
      </c>
      <c r="J765" t="s">
        <v>9430</v>
      </c>
      <c r="K765" t="s">
        <v>74</v>
      </c>
      <c r="L765" t="s">
        <v>74</v>
      </c>
      <c r="M765" t="s">
        <v>78</v>
      </c>
      <c r="N765" t="s">
        <v>3116</v>
      </c>
      <c r="O765" t="s">
        <v>74</v>
      </c>
      <c r="P765" t="s">
        <v>74</v>
      </c>
      <c r="Q765" t="s">
        <v>74</v>
      </c>
      <c r="R765" t="s">
        <v>74</v>
      </c>
      <c r="S765" t="s">
        <v>74</v>
      </c>
      <c r="T765" t="s">
        <v>74</v>
      </c>
      <c r="U765" t="s">
        <v>74</v>
      </c>
      <c r="V765" t="s">
        <v>74</v>
      </c>
      <c r="W765" t="s">
        <v>74</v>
      </c>
      <c r="X765" t="s">
        <v>74</v>
      </c>
      <c r="Y765" t="s">
        <v>74</v>
      </c>
      <c r="Z765" t="s">
        <v>74</v>
      </c>
      <c r="AA765" t="s">
        <v>74</v>
      </c>
      <c r="AB765" t="s">
        <v>74</v>
      </c>
      <c r="AC765" t="s">
        <v>74</v>
      </c>
      <c r="AD765" t="s">
        <v>74</v>
      </c>
      <c r="AE765" t="s">
        <v>74</v>
      </c>
      <c r="AF765" t="s">
        <v>74</v>
      </c>
      <c r="AG765">
        <v>0</v>
      </c>
      <c r="AH765">
        <v>0</v>
      </c>
      <c r="AI765">
        <v>0</v>
      </c>
      <c r="AJ765">
        <v>0</v>
      </c>
      <c r="AK765">
        <v>0</v>
      </c>
      <c r="AL765" t="s">
        <v>9437</v>
      </c>
      <c r="AM765" t="s">
        <v>4364</v>
      </c>
      <c r="AN765" t="s">
        <v>9835</v>
      </c>
      <c r="AO765" t="s">
        <v>9439</v>
      </c>
      <c r="AP765" t="s">
        <v>74</v>
      </c>
      <c r="AQ765" t="s">
        <v>74</v>
      </c>
      <c r="AR765" t="s">
        <v>9441</v>
      </c>
      <c r="AS765" t="s">
        <v>9442</v>
      </c>
      <c r="AT765" t="s">
        <v>9836</v>
      </c>
      <c r="AU765">
        <v>2008</v>
      </c>
      <c r="AV765">
        <v>18</v>
      </c>
      <c r="AW765">
        <v>5</v>
      </c>
      <c r="AX765" t="s">
        <v>74</v>
      </c>
      <c r="AY765" t="s">
        <v>74</v>
      </c>
      <c r="AZ765" t="s">
        <v>74</v>
      </c>
      <c r="BA765" t="s">
        <v>74</v>
      </c>
      <c r="BB765" t="s">
        <v>9837</v>
      </c>
      <c r="BC765" t="s">
        <v>9838</v>
      </c>
      <c r="BD765" t="s">
        <v>74</v>
      </c>
      <c r="BE765" t="s">
        <v>9839</v>
      </c>
      <c r="BF765" t="str">
        <f>HYPERLINK("http://dx.doi.org/10.1016/j.cub.2008.02.040","http://dx.doi.org/10.1016/j.cub.2008.02.040")</f>
        <v>http://dx.doi.org/10.1016/j.cub.2008.02.040</v>
      </c>
      <c r="BG765" t="s">
        <v>74</v>
      </c>
      <c r="BH765" t="s">
        <v>74</v>
      </c>
      <c r="BI765">
        <v>2</v>
      </c>
      <c r="BJ765" t="s">
        <v>8505</v>
      </c>
      <c r="BK765" t="s">
        <v>419</v>
      </c>
      <c r="BL765" t="s">
        <v>8506</v>
      </c>
      <c r="BM765" t="s">
        <v>9840</v>
      </c>
      <c r="BN765">
        <v>18441553</v>
      </c>
      <c r="BO765" t="s">
        <v>4667</v>
      </c>
      <c r="BP765" t="s">
        <v>74</v>
      </c>
      <c r="BQ765" t="s">
        <v>74</v>
      </c>
      <c r="BR765" t="s">
        <v>101</v>
      </c>
      <c r="BS765" t="s">
        <v>9841</v>
      </c>
      <c r="BT765" t="str">
        <f>HYPERLINK("https%3A%2F%2Fwww.webofscience.com%2Fwos%2Fwoscc%2Ffull-record%2FWOS:000253932000001","View Full Record in Web of Science")</f>
        <v>View Full Record in Web of Science</v>
      </c>
    </row>
    <row r="766" spans="1:72" x14ac:dyDescent="0.15">
      <c r="A766" t="s">
        <v>72</v>
      </c>
      <c r="B766" t="s">
        <v>9842</v>
      </c>
      <c r="C766" t="s">
        <v>74</v>
      </c>
      <c r="D766" t="s">
        <v>74</v>
      </c>
      <c r="E766" t="s">
        <v>74</v>
      </c>
      <c r="F766" t="s">
        <v>9843</v>
      </c>
      <c r="G766" t="s">
        <v>74</v>
      </c>
      <c r="H766" t="s">
        <v>74</v>
      </c>
      <c r="I766" t="s">
        <v>9844</v>
      </c>
      <c r="J766" t="s">
        <v>3432</v>
      </c>
      <c r="K766" t="s">
        <v>74</v>
      </c>
      <c r="L766" t="s">
        <v>74</v>
      </c>
      <c r="M766" t="s">
        <v>78</v>
      </c>
      <c r="N766" t="s">
        <v>2737</v>
      </c>
      <c r="O766" t="s">
        <v>74</v>
      </c>
      <c r="P766" t="s">
        <v>74</v>
      </c>
      <c r="Q766" t="s">
        <v>74</v>
      </c>
      <c r="R766" t="s">
        <v>74</v>
      </c>
      <c r="S766" t="s">
        <v>74</v>
      </c>
      <c r="T766" t="s">
        <v>74</v>
      </c>
      <c r="U766" t="s">
        <v>9845</v>
      </c>
      <c r="V766" t="s">
        <v>9846</v>
      </c>
      <c r="W766" t="s">
        <v>9847</v>
      </c>
      <c r="X766" t="s">
        <v>9848</v>
      </c>
      <c r="Y766" t="s">
        <v>9849</v>
      </c>
      <c r="Z766" t="s">
        <v>74</v>
      </c>
      <c r="AA766" t="s">
        <v>9850</v>
      </c>
      <c r="AB766" t="s">
        <v>9851</v>
      </c>
      <c r="AC766" t="s">
        <v>74</v>
      </c>
      <c r="AD766" t="s">
        <v>74</v>
      </c>
      <c r="AE766" t="s">
        <v>74</v>
      </c>
      <c r="AF766" t="s">
        <v>74</v>
      </c>
      <c r="AG766">
        <v>31</v>
      </c>
      <c r="AH766">
        <v>84</v>
      </c>
      <c r="AI766">
        <v>96</v>
      </c>
      <c r="AJ766">
        <v>0</v>
      </c>
      <c r="AK766">
        <v>6</v>
      </c>
      <c r="AL766" t="s">
        <v>3280</v>
      </c>
      <c r="AM766" t="s">
        <v>3281</v>
      </c>
      <c r="AN766" t="s">
        <v>3282</v>
      </c>
      <c r="AO766" t="s">
        <v>3439</v>
      </c>
      <c r="AP766" t="s">
        <v>3440</v>
      </c>
      <c r="AQ766" t="s">
        <v>74</v>
      </c>
      <c r="AR766" t="s">
        <v>3441</v>
      </c>
      <c r="AS766" t="s">
        <v>3442</v>
      </c>
      <c r="AT766" t="s">
        <v>9852</v>
      </c>
      <c r="AU766">
        <v>2008</v>
      </c>
      <c r="AV766">
        <v>113</v>
      </c>
      <c r="AW766" t="s">
        <v>9565</v>
      </c>
      <c r="AX766" t="s">
        <v>74</v>
      </c>
      <c r="AY766" t="s">
        <v>74</v>
      </c>
      <c r="AZ766" t="s">
        <v>74</v>
      </c>
      <c r="BA766" t="s">
        <v>74</v>
      </c>
      <c r="BB766" t="s">
        <v>74</v>
      </c>
      <c r="BC766" t="s">
        <v>74</v>
      </c>
      <c r="BD766" t="s">
        <v>9853</v>
      </c>
      <c r="BE766" t="s">
        <v>9854</v>
      </c>
      <c r="BF766" t="str">
        <f>HYPERLINK("http://dx.doi.org/10.1029/2007JC004304","http://dx.doi.org/10.1029/2007JC004304")</f>
        <v>http://dx.doi.org/10.1029/2007JC004304</v>
      </c>
      <c r="BG766" t="s">
        <v>74</v>
      </c>
      <c r="BH766" t="s">
        <v>74</v>
      </c>
      <c r="BI766">
        <v>14</v>
      </c>
      <c r="BJ766" t="s">
        <v>3447</v>
      </c>
      <c r="BK766" t="s">
        <v>419</v>
      </c>
      <c r="BL766" t="s">
        <v>3447</v>
      </c>
      <c r="BM766" t="s">
        <v>9855</v>
      </c>
      <c r="BN766" t="s">
        <v>74</v>
      </c>
      <c r="BO766" t="s">
        <v>5620</v>
      </c>
      <c r="BP766" t="s">
        <v>74</v>
      </c>
      <c r="BQ766" t="s">
        <v>74</v>
      </c>
      <c r="BR766" t="s">
        <v>101</v>
      </c>
      <c r="BS766" t="s">
        <v>9856</v>
      </c>
      <c r="BT766" t="str">
        <f>HYPERLINK("https%3A%2F%2Fwww.webofscience.com%2Fwos%2Fwoscc%2Ffull-record%2FWOS:000254158300002","View Full Record in Web of Science")</f>
        <v>View Full Record in Web of Science</v>
      </c>
    </row>
    <row r="767" spans="1:72" x14ac:dyDescent="0.15">
      <c r="A767" t="s">
        <v>72</v>
      </c>
      <c r="B767" t="s">
        <v>9857</v>
      </c>
      <c r="C767" t="s">
        <v>74</v>
      </c>
      <c r="D767" t="s">
        <v>74</v>
      </c>
      <c r="E767" t="s">
        <v>74</v>
      </c>
      <c r="F767" t="s">
        <v>9858</v>
      </c>
      <c r="G767" t="s">
        <v>74</v>
      </c>
      <c r="H767" t="s">
        <v>74</v>
      </c>
      <c r="I767" t="s">
        <v>9859</v>
      </c>
      <c r="J767" t="s">
        <v>3594</v>
      </c>
      <c r="K767" t="s">
        <v>74</v>
      </c>
      <c r="L767" t="s">
        <v>74</v>
      </c>
      <c r="M767" t="s">
        <v>78</v>
      </c>
      <c r="N767" t="s">
        <v>2737</v>
      </c>
      <c r="O767" t="s">
        <v>74</v>
      </c>
      <c r="P767" t="s">
        <v>74</v>
      </c>
      <c r="Q767" t="s">
        <v>74</v>
      </c>
      <c r="R767" t="s">
        <v>74</v>
      </c>
      <c r="S767" t="s">
        <v>74</v>
      </c>
      <c r="T767" t="s">
        <v>74</v>
      </c>
      <c r="U767" t="s">
        <v>9860</v>
      </c>
      <c r="V767" t="s">
        <v>9861</v>
      </c>
      <c r="W767" t="s">
        <v>9862</v>
      </c>
      <c r="X767" t="s">
        <v>9863</v>
      </c>
      <c r="Y767" t="s">
        <v>9864</v>
      </c>
      <c r="Z767" t="s">
        <v>9865</v>
      </c>
      <c r="AA767" t="s">
        <v>9866</v>
      </c>
      <c r="AB767" t="s">
        <v>9867</v>
      </c>
      <c r="AC767" t="s">
        <v>74</v>
      </c>
      <c r="AD767" t="s">
        <v>74</v>
      </c>
      <c r="AE767" t="s">
        <v>74</v>
      </c>
      <c r="AF767" t="s">
        <v>74</v>
      </c>
      <c r="AG767">
        <v>50</v>
      </c>
      <c r="AH767">
        <v>85</v>
      </c>
      <c r="AI767">
        <v>97</v>
      </c>
      <c r="AJ767">
        <v>0</v>
      </c>
      <c r="AK767">
        <v>16</v>
      </c>
      <c r="AL767" t="s">
        <v>3280</v>
      </c>
      <c r="AM767" t="s">
        <v>3281</v>
      </c>
      <c r="AN767" t="s">
        <v>3282</v>
      </c>
      <c r="AO767" t="s">
        <v>3605</v>
      </c>
      <c r="AP767" t="s">
        <v>3606</v>
      </c>
      <c r="AQ767" t="s">
        <v>74</v>
      </c>
      <c r="AR767" t="s">
        <v>3594</v>
      </c>
      <c r="AS767" t="s">
        <v>3607</v>
      </c>
      <c r="AT767" t="s">
        <v>9852</v>
      </c>
      <c r="AU767">
        <v>2008</v>
      </c>
      <c r="AV767">
        <v>23</v>
      </c>
      <c r="AW767">
        <v>1</v>
      </c>
      <c r="AX767" t="s">
        <v>74</v>
      </c>
      <c r="AY767" t="s">
        <v>74</v>
      </c>
      <c r="AZ767" t="s">
        <v>74</v>
      </c>
      <c r="BA767" t="s">
        <v>74</v>
      </c>
      <c r="BB767" t="s">
        <v>74</v>
      </c>
      <c r="BC767" t="s">
        <v>74</v>
      </c>
      <c r="BD767" t="s">
        <v>9868</v>
      </c>
      <c r="BE767" t="s">
        <v>9869</v>
      </c>
      <c r="BF767" t="str">
        <f>HYPERLINK("http://dx.doi.org/10.1029/2007PA001497","http://dx.doi.org/10.1029/2007PA001497")</f>
        <v>http://dx.doi.org/10.1029/2007PA001497</v>
      </c>
      <c r="BG767" t="s">
        <v>74</v>
      </c>
      <c r="BH767" t="s">
        <v>74</v>
      </c>
      <c r="BI767">
        <v>10</v>
      </c>
      <c r="BJ767" t="s">
        <v>3610</v>
      </c>
      <c r="BK767" t="s">
        <v>419</v>
      </c>
      <c r="BL767" t="s">
        <v>3611</v>
      </c>
      <c r="BM767" t="s">
        <v>9870</v>
      </c>
      <c r="BN767" t="s">
        <v>74</v>
      </c>
      <c r="BO767" t="s">
        <v>3290</v>
      </c>
      <c r="BP767" t="s">
        <v>74</v>
      </c>
      <c r="BQ767" t="s">
        <v>74</v>
      </c>
      <c r="BR767" t="s">
        <v>101</v>
      </c>
      <c r="BS767" t="s">
        <v>9871</v>
      </c>
      <c r="BT767" t="str">
        <f>HYPERLINK("https%3A%2F%2Fwww.webofscience.com%2Fwos%2Fwoscc%2Ffull-record%2FWOS:000254159300001","View Full Record in Web of Science")</f>
        <v>View Full Record in Web of Science</v>
      </c>
    </row>
    <row r="768" spans="1:72" x14ac:dyDescent="0.15">
      <c r="A768" t="s">
        <v>72</v>
      </c>
      <c r="B768" t="s">
        <v>9872</v>
      </c>
      <c r="C768" t="s">
        <v>74</v>
      </c>
      <c r="D768" t="s">
        <v>74</v>
      </c>
      <c r="E768" t="s">
        <v>74</v>
      </c>
      <c r="F768" t="s">
        <v>9873</v>
      </c>
      <c r="G768" t="s">
        <v>74</v>
      </c>
      <c r="H768" t="s">
        <v>74</v>
      </c>
      <c r="I768" t="s">
        <v>9874</v>
      </c>
      <c r="J768" t="s">
        <v>3540</v>
      </c>
      <c r="K768" t="s">
        <v>74</v>
      </c>
      <c r="L768" t="s">
        <v>74</v>
      </c>
      <c r="M768" t="s">
        <v>78</v>
      </c>
      <c r="N768" t="s">
        <v>2989</v>
      </c>
      <c r="O768" t="s">
        <v>74</v>
      </c>
      <c r="P768" t="s">
        <v>74</v>
      </c>
      <c r="Q768" t="s">
        <v>74</v>
      </c>
      <c r="R768" t="s">
        <v>74</v>
      </c>
      <c r="S768" t="s">
        <v>74</v>
      </c>
      <c r="T768" t="s">
        <v>74</v>
      </c>
      <c r="U768" t="s">
        <v>74</v>
      </c>
      <c r="V768" t="s">
        <v>74</v>
      </c>
      <c r="W768" t="s">
        <v>9875</v>
      </c>
      <c r="X768" t="s">
        <v>9876</v>
      </c>
      <c r="Y768" t="s">
        <v>9877</v>
      </c>
      <c r="Z768" t="s">
        <v>9878</v>
      </c>
      <c r="AA768" t="s">
        <v>9879</v>
      </c>
      <c r="AB768" t="s">
        <v>9880</v>
      </c>
      <c r="AC768" t="s">
        <v>3785</v>
      </c>
      <c r="AD768" t="s">
        <v>3031</v>
      </c>
      <c r="AE768" t="s">
        <v>74</v>
      </c>
      <c r="AF768" t="s">
        <v>74</v>
      </c>
      <c r="AG768">
        <v>10</v>
      </c>
      <c r="AH768">
        <v>11</v>
      </c>
      <c r="AI768">
        <v>13</v>
      </c>
      <c r="AJ768">
        <v>0</v>
      </c>
      <c r="AK768">
        <v>1</v>
      </c>
      <c r="AL768" t="s">
        <v>3549</v>
      </c>
      <c r="AM768" t="s">
        <v>3550</v>
      </c>
      <c r="AN768" t="s">
        <v>3551</v>
      </c>
      <c r="AO768" t="s">
        <v>3552</v>
      </c>
      <c r="AP768" t="s">
        <v>3553</v>
      </c>
      <c r="AQ768" t="s">
        <v>74</v>
      </c>
      <c r="AR768" t="s">
        <v>3540</v>
      </c>
      <c r="AS768" t="s">
        <v>3554</v>
      </c>
      <c r="AT768" t="s">
        <v>9881</v>
      </c>
      <c r="AU768">
        <v>2008</v>
      </c>
      <c r="AV768">
        <v>452</v>
      </c>
      <c r="AW768">
        <v>7183</v>
      </c>
      <c r="AX768" t="s">
        <v>74</v>
      </c>
      <c r="AY768" t="s">
        <v>74</v>
      </c>
      <c r="AZ768" t="s">
        <v>74</v>
      </c>
      <c r="BA768" t="s">
        <v>74</v>
      </c>
      <c r="BB768">
        <v>41</v>
      </c>
      <c r="BC768">
        <v>42</v>
      </c>
      <c r="BD768" t="s">
        <v>74</v>
      </c>
      <c r="BE768" t="s">
        <v>9882</v>
      </c>
      <c r="BF768" t="str">
        <f>HYPERLINK("http://dx.doi.org/10.1038/452041a","http://dx.doi.org/10.1038/452041a")</f>
        <v>http://dx.doi.org/10.1038/452041a</v>
      </c>
      <c r="BG768" t="s">
        <v>74</v>
      </c>
      <c r="BH768" t="s">
        <v>74</v>
      </c>
      <c r="BI768">
        <v>2</v>
      </c>
      <c r="BJ768" t="s">
        <v>3123</v>
      </c>
      <c r="BK768" t="s">
        <v>419</v>
      </c>
      <c r="BL768" t="s">
        <v>3124</v>
      </c>
      <c r="BM768" t="s">
        <v>9883</v>
      </c>
      <c r="BN768">
        <v>18322522</v>
      </c>
      <c r="BO768" t="s">
        <v>74</v>
      </c>
      <c r="BP768" t="s">
        <v>74</v>
      </c>
      <c r="BQ768" t="s">
        <v>74</v>
      </c>
      <c r="BR768" t="s">
        <v>101</v>
      </c>
      <c r="BS768" t="s">
        <v>9884</v>
      </c>
      <c r="BT768" t="str">
        <f>HYPERLINK("https%3A%2F%2Fwww.webofscience.com%2Fwos%2Fwoscc%2Ffull-record%2FWOS:000253671900038","View Full Record in Web of Science")</f>
        <v>View Full Record in Web of Science</v>
      </c>
    </row>
    <row r="769" spans="1:72" x14ac:dyDescent="0.15">
      <c r="A769" t="s">
        <v>72</v>
      </c>
      <c r="B769" t="s">
        <v>9885</v>
      </c>
      <c r="C769" t="s">
        <v>74</v>
      </c>
      <c r="D769" t="s">
        <v>74</v>
      </c>
      <c r="E769" t="s">
        <v>74</v>
      </c>
      <c r="F769" t="s">
        <v>9886</v>
      </c>
      <c r="G769" t="s">
        <v>74</v>
      </c>
      <c r="H769" t="s">
        <v>74</v>
      </c>
      <c r="I769" t="s">
        <v>9887</v>
      </c>
      <c r="J769" t="s">
        <v>3540</v>
      </c>
      <c r="K769" t="s">
        <v>74</v>
      </c>
      <c r="L769" t="s">
        <v>74</v>
      </c>
      <c r="M769" t="s">
        <v>78</v>
      </c>
      <c r="N769" t="s">
        <v>2737</v>
      </c>
      <c r="O769" t="s">
        <v>74</v>
      </c>
      <c r="P769" t="s">
        <v>74</v>
      </c>
      <c r="Q769" t="s">
        <v>74</v>
      </c>
      <c r="R769" t="s">
        <v>74</v>
      </c>
      <c r="S769" t="s">
        <v>74</v>
      </c>
      <c r="T769" t="s">
        <v>74</v>
      </c>
      <c r="U769" t="s">
        <v>9888</v>
      </c>
      <c r="V769" t="s">
        <v>9889</v>
      </c>
      <c r="W769" t="s">
        <v>9890</v>
      </c>
      <c r="X769" t="s">
        <v>9891</v>
      </c>
      <c r="Y769" t="s">
        <v>9892</v>
      </c>
      <c r="Z769" t="s">
        <v>9893</v>
      </c>
      <c r="AA769" t="s">
        <v>9894</v>
      </c>
      <c r="AB769" t="s">
        <v>9895</v>
      </c>
      <c r="AC769" t="s">
        <v>8632</v>
      </c>
      <c r="AD769" t="s">
        <v>2792</v>
      </c>
      <c r="AE769" t="s">
        <v>74</v>
      </c>
      <c r="AF769" t="s">
        <v>74</v>
      </c>
      <c r="AG769">
        <v>30</v>
      </c>
      <c r="AH769">
        <v>306</v>
      </c>
      <c r="AI769">
        <v>320</v>
      </c>
      <c r="AJ769">
        <v>1</v>
      </c>
      <c r="AK769">
        <v>19</v>
      </c>
      <c r="AL769" t="s">
        <v>3549</v>
      </c>
      <c r="AM769" t="s">
        <v>3550</v>
      </c>
      <c r="AN769" t="s">
        <v>3551</v>
      </c>
      <c r="AO769" t="s">
        <v>3552</v>
      </c>
      <c r="AP769" t="s">
        <v>3553</v>
      </c>
      <c r="AQ769" t="s">
        <v>74</v>
      </c>
      <c r="AR769" t="s">
        <v>3540</v>
      </c>
      <c r="AS769" t="s">
        <v>3554</v>
      </c>
      <c r="AT769" t="s">
        <v>9881</v>
      </c>
      <c r="AU769">
        <v>2008</v>
      </c>
      <c r="AV769">
        <v>452</v>
      </c>
      <c r="AW769">
        <v>7183</v>
      </c>
      <c r="AX769" t="s">
        <v>74</v>
      </c>
      <c r="AY769" t="s">
        <v>74</v>
      </c>
      <c r="AZ769" t="s">
        <v>74</v>
      </c>
      <c r="BA769" t="s">
        <v>74</v>
      </c>
      <c r="BB769">
        <v>62</v>
      </c>
      <c r="BC769">
        <v>66</v>
      </c>
      <c r="BD769" t="s">
        <v>74</v>
      </c>
      <c r="BE769" t="s">
        <v>9896</v>
      </c>
      <c r="BF769" t="str">
        <f>HYPERLINK("http://dx.doi.org/10.1038/nature06741","http://dx.doi.org/10.1038/nature06741")</f>
        <v>http://dx.doi.org/10.1038/nature06741</v>
      </c>
      <c r="BG769" t="s">
        <v>74</v>
      </c>
      <c r="BH769" t="s">
        <v>74</v>
      </c>
      <c r="BI769">
        <v>5</v>
      </c>
      <c r="BJ769" t="s">
        <v>3123</v>
      </c>
      <c r="BK769" t="s">
        <v>419</v>
      </c>
      <c r="BL769" t="s">
        <v>3124</v>
      </c>
      <c r="BM769" t="s">
        <v>9883</v>
      </c>
      <c r="BN769">
        <v>18322528</v>
      </c>
      <c r="BO769" t="s">
        <v>74</v>
      </c>
      <c r="BP769" t="s">
        <v>74</v>
      </c>
      <c r="BQ769" t="s">
        <v>74</v>
      </c>
      <c r="BR769" t="s">
        <v>101</v>
      </c>
      <c r="BS769" t="s">
        <v>9897</v>
      </c>
      <c r="BT769" t="str">
        <f>HYPERLINK("https%3A%2F%2Fwww.webofscience.com%2Fwos%2Fwoscc%2Ffull-record%2FWOS:000253671900046","View Full Record in Web of Science")</f>
        <v>View Full Record in Web of Science</v>
      </c>
    </row>
    <row r="770" spans="1:72" x14ac:dyDescent="0.15">
      <c r="A770" t="s">
        <v>72</v>
      </c>
      <c r="B770" t="s">
        <v>9898</v>
      </c>
      <c r="C770" t="s">
        <v>74</v>
      </c>
      <c r="D770" t="s">
        <v>74</v>
      </c>
      <c r="E770" t="s">
        <v>74</v>
      </c>
      <c r="F770" t="s">
        <v>9899</v>
      </c>
      <c r="G770" t="s">
        <v>74</v>
      </c>
      <c r="H770" t="s">
        <v>74</v>
      </c>
      <c r="I770" t="s">
        <v>9900</v>
      </c>
      <c r="J770" t="s">
        <v>3618</v>
      </c>
      <c r="K770" t="s">
        <v>74</v>
      </c>
      <c r="L770" t="s">
        <v>74</v>
      </c>
      <c r="M770" t="s">
        <v>78</v>
      </c>
      <c r="N770" t="s">
        <v>2737</v>
      </c>
      <c r="O770" t="s">
        <v>74</v>
      </c>
      <c r="P770" t="s">
        <v>74</v>
      </c>
      <c r="Q770" t="s">
        <v>74</v>
      </c>
      <c r="R770" t="s">
        <v>74</v>
      </c>
      <c r="S770" t="s">
        <v>74</v>
      </c>
      <c r="T770" t="s">
        <v>74</v>
      </c>
      <c r="U770" t="s">
        <v>9901</v>
      </c>
      <c r="V770" t="s">
        <v>9902</v>
      </c>
      <c r="W770" t="s">
        <v>9903</v>
      </c>
      <c r="X770" t="s">
        <v>9904</v>
      </c>
      <c r="Y770" t="s">
        <v>9905</v>
      </c>
      <c r="Z770" t="s">
        <v>9906</v>
      </c>
      <c r="AA770" t="s">
        <v>74</v>
      </c>
      <c r="AB770" t="s">
        <v>9907</v>
      </c>
      <c r="AC770" t="s">
        <v>9908</v>
      </c>
      <c r="AD770" t="s">
        <v>9909</v>
      </c>
      <c r="AE770" t="s">
        <v>9910</v>
      </c>
      <c r="AF770" t="s">
        <v>74</v>
      </c>
      <c r="AG770">
        <v>31</v>
      </c>
      <c r="AH770">
        <v>58</v>
      </c>
      <c r="AI770">
        <v>61</v>
      </c>
      <c r="AJ770">
        <v>0</v>
      </c>
      <c r="AK770">
        <v>31</v>
      </c>
      <c r="AL770" t="s">
        <v>3628</v>
      </c>
      <c r="AM770" t="s">
        <v>3629</v>
      </c>
      <c r="AN770" t="s">
        <v>3630</v>
      </c>
      <c r="AO770" t="s">
        <v>3631</v>
      </c>
      <c r="AP770" t="s">
        <v>74</v>
      </c>
      <c r="AQ770" t="s">
        <v>74</v>
      </c>
      <c r="AR770" t="s">
        <v>3618</v>
      </c>
      <c r="AS770" t="s">
        <v>3632</v>
      </c>
      <c r="AT770" t="s">
        <v>9911</v>
      </c>
      <c r="AU770">
        <v>2008</v>
      </c>
      <c r="AV770">
        <v>3</v>
      </c>
      <c r="AW770">
        <v>3</v>
      </c>
      <c r="AX770" t="s">
        <v>74</v>
      </c>
      <c r="AY770" t="s">
        <v>74</v>
      </c>
      <c r="AZ770" t="s">
        <v>74</v>
      </c>
      <c r="BA770" t="s">
        <v>74</v>
      </c>
      <c r="BB770" t="s">
        <v>74</v>
      </c>
      <c r="BC770" t="s">
        <v>74</v>
      </c>
      <c r="BD770" t="s">
        <v>9912</v>
      </c>
      <c r="BE770" t="s">
        <v>9913</v>
      </c>
      <c r="BF770" t="str">
        <f>HYPERLINK("http://dx.doi.org/10.1371/journal.pone.0001743","http://dx.doi.org/10.1371/journal.pone.0001743")</f>
        <v>http://dx.doi.org/10.1371/journal.pone.0001743</v>
      </c>
      <c r="BG770" t="s">
        <v>74</v>
      </c>
      <c r="BH770" t="s">
        <v>74</v>
      </c>
      <c r="BI770">
        <v>9</v>
      </c>
      <c r="BJ770" t="s">
        <v>3123</v>
      </c>
      <c r="BK770" t="s">
        <v>419</v>
      </c>
      <c r="BL770" t="s">
        <v>3124</v>
      </c>
      <c r="BM770" t="s">
        <v>9914</v>
      </c>
      <c r="BN770">
        <v>18320061</v>
      </c>
      <c r="BO770" t="s">
        <v>3636</v>
      </c>
      <c r="BP770" t="s">
        <v>74</v>
      </c>
      <c r="BQ770" t="s">
        <v>74</v>
      </c>
      <c r="BR770" t="s">
        <v>101</v>
      </c>
      <c r="BS770" t="s">
        <v>9915</v>
      </c>
      <c r="BT770" t="str">
        <f>HYPERLINK("https%3A%2F%2Fwww.webofscience.com%2Fwos%2Fwoscc%2Ffull-record%2FWOS:000260586600038","View Full Record in Web of Science")</f>
        <v>View Full Record in Web of Science</v>
      </c>
    </row>
    <row r="771" spans="1:72" x14ac:dyDescent="0.15">
      <c r="A771" t="s">
        <v>72</v>
      </c>
      <c r="B771" t="s">
        <v>9916</v>
      </c>
      <c r="C771" t="s">
        <v>74</v>
      </c>
      <c r="D771" t="s">
        <v>74</v>
      </c>
      <c r="E771" t="s">
        <v>74</v>
      </c>
      <c r="F771" t="s">
        <v>9917</v>
      </c>
      <c r="G771" t="s">
        <v>74</v>
      </c>
      <c r="H771" t="s">
        <v>74</v>
      </c>
      <c r="I771" t="s">
        <v>9918</v>
      </c>
      <c r="J771" t="s">
        <v>3969</v>
      </c>
      <c r="K771" t="s">
        <v>74</v>
      </c>
      <c r="L771" t="s">
        <v>74</v>
      </c>
      <c r="M771" t="s">
        <v>78</v>
      </c>
      <c r="N771" t="s">
        <v>2737</v>
      </c>
      <c r="O771" t="s">
        <v>74</v>
      </c>
      <c r="P771" t="s">
        <v>74</v>
      </c>
      <c r="Q771" t="s">
        <v>74</v>
      </c>
      <c r="R771" t="s">
        <v>74</v>
      </c>
      <c r="S771" t="s">
        <v>74</v>
      </c>
      <c r="T771" t="s">
        <v>9919</v>
      </c>
      <c r="U771" t="s">
        <v>9920</v>
      </c>
      <c r="V771" t="s">
        <v>9921</v>
      </c>
      <c r="W771" t="s">
        <v>9922</v>
      </c>
      <c r="X771" t="s">
        <v>9923</v>
      </c>
      <c r="Y771" t="s">
        <v>9924</v>
      </c>
      <c r="Z771" t="s">
        <v>9925</v>
      </c>
      <c r="AA771" t="s">
        <v>9926</v>
      </c>
      <c r="AB771" t="s">
        <v>9927</v>
      </c>
      <c r="AC771" t="s">
        <v>74</v>
      </c>
      <c r="AD771" t="s">
        <v>74</v>
      </c>
      <c r="AE771" t="s">
        <v>74</v>
      </c>
      <c r="AF771" t="s">
        <v>74</v>
      </c>
      <c r="AG771">
        <v>34</v>
      </c>
      <c r="AH771">
        <v>42</v>
      </c>
      <c r="AI771">
        <v>45</v>
      </c>
      <c r="AJ771">
        <v>0</v>
      </c>
      <c r="AK771">
        <v>13</v>
      </c>
      <c r="AL771" t="s">
        <v>3979</v>
      </c>
      <c r="AM771" t="s">
        <v>2747</v>
      </c>
      <c r="AN771" t="s">
        <v>4520</v>
      </c>
      <c r="AO771" t="s">
        <v>3981</v>
      </c>
      <c r="AP771" t="s">
        <v>9928</v>
      </c>
      <c r="AQ771" t="s">
        <v>74</v>
      </c>
      <c r="AR771" t="s">
        <v>3982</v>
      </c>
      <c r="AS771" t="s">
        <v>3983</v>
      </c>
      <c r="AT771" t="s">
        <v>9929</v>
      </c>
      <c r="AU771">
        <v>2008</v>
      </c>
      <c r="AV771">
        <v>42</v>
      </c>
      <c r="AW771">
        <v>4</v>
      </c>
      <c r="AX771" t="s">
        <v>74</v>
      </c>
      <c r="AY771" t="s">
        <v>74</v>
      </c>
      <c r="AZ771" t="s">
        <v>74</v>
      </c>
      <c r="BA771" t="s">
        <v>74</v>
      </c>
      <c r="BB771">
        <v>371</v>
      </c>
      <c r="BC771">
        <v>377</v>
      </c>
      <c r="BD771" t="s">
        <v>74</v>
      </c>
      <c r="BE771" t="s">
        <v>9930</v>
      </c>
      <c r="BF771" t="str">
        <f>HYPERLINK("http://dx.doi.org/10.1016/j.enzmictec.2007.11.003","http://dx.doi.org/10.1016/j.enzmictec.2007.11.003")</f>
        <v>http://dx.doi.org/10.1016/j.enzmictec.2007.11.003</v>
      </c>
      <c r="BG771" t="s">
        <v>74</v>
      </c>
      <c r="BH771" t="s">
        <v>74</v>
      </c>
      <c r="BI771">
        <v>7</v>
      </c>
      <c r="BJ771" t="s">
        <v>3986</v>
      </c>
      <c r="BK771" t="s">
        <v>419</v>
      </c>
      <c r="BL771" t="s">
        <v>3986</v>
      </c>
      <c r="BM771" t="s">
        <v>9931</v>
      </c>
      <c r="BN771" t="s">
        <v>74</v>
      </c>
      <c r="BO771" t="s">
        <v>74</v>
      </c>
      <c r="BP771" t="s">
        <v>74</v>
      </c>
      <c r="BQ771" t="s">
        <v>74</v>
      </c>
      <c r="BR771" t="s">
        <v>101</v>
      </c>
      <c r="BS771" t="s">
        <v>9932</v>
      </c>
      <c r="BT771" t="str">
        <f>HYPERLINK("https%3A%2F%2Fwww.webofscience.com%2Fwos%2Fwoscc%2Ffull-record%2FWOS:000254728500010","View Full Record in Web of Science")</f>
        <v>View Full Record in Web of Science</v>
      </c>
    </row>
    <row r="772" spans="1:72" x14ac:dyDescent="0.15">
      <c r="A772" t="s">
        <v>72</v>
      </c>
      <c r="B772" t="s">
        <v>9933</v>
      </c>
      <c r="C772" t="s">
        <v>74</v>
      </c>
      <c r="D772" t="s">
        <v>74</v>
      </c>
      <c r="E772" t="s">
        <v>74</v>
      </c>
      <c r="F772" t="s">
        <v>9934</v>
      </c>
      <c r="G772" t="s">
        <v>74</v>
      </c>
      <c r="H772" t="s">
        <v>74</v>
      </c>
      <c r="I772" t="s">
        <v>9935</v>
      </c>
      <c r="J772" t="s">
        <v>3396</v>
      </c>
      <c r="K772" t="s">
        <v>74</v>
      </c>
      <c r="L772" t="s">
        <v>74</v>
      </c>
      <c r="M772" t="s">
        <v>78</v>
      </c>
      <c r="N772" t="s">
        <v>2737</v>
      </c>
      <c r="O772" t="s">
        <v>74</v>
      </c>
      <c r="P772" t="s">
        <v>74</v>
      </c>
      <c r="Q772" t="s">
        <v>74</v>
      </c>
      <c r="R772" t="s">
        <v>74</v>
      </c>
      <c r="S772" t="s">
        <v>74</v>
      </c>
      <c r="T772" t="s">
        <v>74</v>
      </c>
      <c r="U772" t="s">
        <v>9936</v>
      </c>
      <c r="V772" t="s">
        <v>9937</v>
      </c>
      <c r="W772" t="s">
        <v>9938</v>
      </c>
      <c r="X772" t="s">
        <v>9939</v>
      </c>
      <c r="Y772" t="s">
        <v>9940</v>
      </c>
      <c r="Z772" t="s">
        <v>9941</v>
      </c>
      <c r="AA772" t="s">
        <v>74</v>
      </c>
      <c r="AB772" t="s">
        <v>74</v>
      </c>
      <c r="AC772" t="s">
        <v>74</v>
      </c>
      <c r="AD772" t="s">
        <v>74</v>
      </c>
      <c r="AE772" t="s">
        <v>74</v>
      </c>
      <c r="AF772" t="s">
        <v>74</v>
      </c>
      <c r="AG772">
        <v>24</v>
      </c>
      <c r="AH772">
        <v>14</v>
      </c>
      <c r="AI772">
        <v>15</v>
      </c>
      <c r="AJ772">
        <v>0</v>
      </c>
      <c r="AK772">
        <v>15</v>
      </c>
      <c r="AL772" t="s">
        <v>3280</v>
      </c>
      <c r="AM772" t="s">
        <v>3281</v>
      </c>
      <c r="AN772" t="s">
        <v>3282</v>
      </c>
      <c r="AO772" t="s">
        <v>3406</v>
      </c>
      <c r="AP772" t="s">
        <v>3407</v>
      </c>
      <c r="AQ772" t="s">
        <v>74</v>
      </c>
      <c r="AR772" t="s">
        <v>3408</v>
      </c>
      <c r="AS772" t="s">
        <v>3409</v>
      </c>
      <c r="AT772" t="s">
        <v>9929</v>
      </c>
      <c r="AU772">
        <v>2008</v>
      </c>
      <c r="AV772">
        <v>113</v>
      </c>
      <c r="AW772" t="s">
        <v>9942</v>
      </c>
      <c r="AX772" t="s">
        <v>74</v>
      </c>
      <c r="AY772" t="s">
        <v>74</v>
      </c>
      <c r="AZ772" t="s">
        <v>74</v>
      </c>
      <c r="BA772" t="s">
        <v>74</v>
      </c>
      <c r="BB772" t="s">
        <v>74</v>
      </c>
      <c r="BC772" t="s">
        <v>74</v>
      </c>
      <c r="BD772" t="s">
        <v>9943</v>
      </c>
      <c r="BE772" t="s">
        <v>9944</v>
      </c>
      <c r="BF772" t="str">
        <f>HYPERLINK("http://dx.doi.org/10.1029/2007JD008919","http://dx.doi.org/10.1029/2007JD008919")</f>
        <v>http://dx.doi.org/10.1029/2007JD008919</v>
      </c>
      <c r="BG772" t="s">
        <v>74</v>
      </c>
      <c r="BH772" t="s">
        <v>74</v>
      </c>
      <c r="BI772">
        <v>6</v>
      </c>
      <c r="BJ772" t="s">
        <v>3071</v>
      </c>
      <c r="BK772" t="s">
        <v>419</v>
      </c>
      <c r="BL772" t="s">
        <v>3071</v>
      </c>
      <c r="BM772" t="s">
        <v>9945</v>
      </c>
      <c r="BN772" t="s">
        <v>74</v>
      </c>
      <c r="BO772" t="s">
        <v>3589</v>
      </c>
      <c r="BP772" t="s">
        <v>74</v>
      </c>
      <c r="BQ772" t="s">
        <v>74</v>
      </c>
      <c r="BR772" t="s">
        <v>101</v>
      </c>
      <c r="BS772" t="s">
        <v>9946</v>
      </c>
      <c r="BT772" t="str">
        <f>HYPERLINK("https%3A%2F%2Fwww.webofscience.com%2Fwos%2Fwoscc%2Ffull-record%2FWOS:000254156600003","View Full Record in Web of Science")</f>
        <v>View Full Record in Web of Science</v>
      </c>
    </row>
    <row r="773" spans="1:72" x14ac:dyDescent="0.15">
      <c r="A773" t="s">
        <v>72</v>
      </c>
      <c r="B773" t="s">
        <v>9947</v>
      </c>
      <c r="C773" t="s">
        <v>74</v>
      </c>
      <c r="D773" t="s">
        <v>74</v>
      </c>
      <c r="E773" t="s">
        <v>74</v>
      </c>
      <c r="F773" t="s">
        <v>9948</v>
      </c>
      <c r="G773" t="s">
        <v>74</v>
      </c>
      <c r="H773" t="s">
        <v>74</v>
      </c>
      <c r="I773" t="s">
        <v>9949</v>
      </c>
      <c r="J773" t="s">
        <v>9950</v>
      </c>
      <c r="K773" t="s">
        <v>74</v>
      </c>
      <c r="L773" t="s">
        <v>74</v>
      </c>
      <c r="M773" t="s">
        <v>78</v>
      </c>
      <c r="N773" t="s">
        <v>2737</v>
      </c>
      <c r="O773" t="s">
        <v>74</v>
      </c>
      <c r="P773" t="s">
        <v>74</v>
      </c>
      <c r="Q773" t="s">
        <v>74</v>
      </c>
      <c r="R773" t="s">
        <v>74</v>
      </c>
      <c r="S773" t="s">
        <v>74</v>
      </c>
      <c r="T773" t="s">
        <v>9951</v>
      </c>
      <c r="U773" t="s">
        <v>9952</v>
      </c>
      <c r="V773" t="s">
        <v>9953</v>
      </c>
      <c r="W773" t="s">
        <v>9954</v>
      </c>
      <c r="X773" t="s">
        <v>9955</v>
      </c>
      <c r="Y773" t="s">
        <v>9956</v>
      </c>
      <c r="Z773" t="s">
        <v>9957</v>
      </c>
      <c r="AA773" t="s">
        <v>9958</v>
      </c>
      <c r="AB773" t="s">
        <v>9959</v>
      </c>
      <c r="AC773" t="s">
        <v>4867</v>
      </c>
      <c r="AD773" t="s">
        <v>2792</v>
      </c>
      <c r="AE773" t="s">
        <v>74</v>
      </c>
      <c r="AF773" t="s">
        <v>74</v>
      </c>
      <c r="AG773">
        <v>60</v>
      </c>
      <c r="AH773">
        <v>49</v>
      </c>
      <c r="AI773">
        <v>53</v>
      </c>
      <c r="AJ773">
        <v>4</v>
      </c>
      <c r="AK773">
        <v>31</v>
      </c>
      <c r="AL773" t="s">
        <v>9960</v>
      </c>
      <c r="AM773" t="s">
        <v>9961</v>
      </c>
      <c r="AN773" t="s">
        <v>9962</v>
      </c>
      <c r="AO773" t="s">
        <v>9963</v>
      </c>
      <c r="AP773" t="s">
        <v>9964</v>
      </c>
      <c r="AQ773" t="s">
        <v>74</v>
      </c>
      <c r="AR773" t="s">
        <v>9965</v>
      </c>
      <c r="AS773" t="s">
        <v>9966</v>
      </c>
      <c r="AT773" t="s">
        <v>9967</v>
      </c>
      <c r="AU773">
        <v>2008</v>
      </c>
      <c r="AV773">
        <v>56</v>
      </c>
      <c r="AW773">
        <v>1</v>
      </c>
      <c r="AX773" t="s">
        <v>74</v>
      </c>
      <c r="AY773" t="s">
        <v>74</v>
      </c>
      <c r="AZ773" t="s">
        <v>74</v>
      </c>
      <c r="BA773" t="s">
        <v>74</v>
      </c>
      <c r="BB773">
        <v>194</v>
      </c>
      <c r="BC773">
        <v>219</v>
      </c>
      <c r="BD773" t="s">
        <v>74</v>
      </c>
      <c r="BE773" t="s">
        <v>9968</v>
      </c>
      <c r="BF773" t="str">
        <f>HYPERLINK("http://dx.doi.org/10.2478/s11600-007-0043-1","http://dx.doi.org/10.2478/s11600-007-0043-1")</f>
        <v>http://dx.doi.org/10.2478/s11600-007-0043-1</v>
      </c>
      <c r="BG773" t="s">
        <v>74</v>
      </c>
      <c r="BH773" t="s">
        <v>74</v>
      </c>
      <c r="BI773">
        <v>26</v>
      </c>
      <c r="BJ773" t="s">
        <v>98</v>
      </c>
      <c r="BK773" t="s">
        <v>419</v>
      </c>
      <c r="BL773" t="s">
        <v>98</v>
      </c>
      <c r="BM773" t="s">
        <v>9969</v>
      </c>
      <c r="BN773" t="s">
        <v>74</v>
      </c>
      <c r="BO773" t="s">
        <v>74</v>
      </c>
      <c r="BP773" t="s">
        <v>74</v>
      </c>
      <c r="BQ773" t="s">
        <v>74</v>
      </c>
      <c r="BR773" t="s">
        <v>101</v>
      </c>
      <c r="BS773" t="s">
        <v>9970</v>
      </c>
      <c r="BT773" t="str">
        <f>HYPERLINK("https%3A%2F%2Fwww.webofscience.com%2Fwos%2Fwoscc%2Ffull-record%2FWOS:000252106800010","View Full Record in Web of Science")</f>
        <v>View Full Record in Web of Science</v>
      </c>
    </row>
    <row r="774" spans="1:72" x14ac:dyDescent="0.15">
      <c r="A774" t="s">
        <v>72</v>
      </c>
      <c r="B774" t="s">
        <v>9971</v>
      </c>
      <c r="C774" t="s">
        <v>74</v>
      </c>
      <c r="D774" t="s">
        <v>74</v>
      </c>
      <c r="E774" t="s">
        <v>74</v>
      </c>
      <c r="F774" t="s">
        <v>9972</v>
      </c>
      <c r="G774" t="s">
        <v>74</v>
      </c>
      <c r="H774" t="s">
        <v>74</v>
      </c>
      <c r="I774" t="s">
        <v>9973</v>
      </c>
      <c r="J774" t="s">
        <v>9974</v>
      </c>
      <c r="K774" t="s">
        <v>74</v>
      </c>
      <c r="L774" t="s">
        <v>74</v>
      </c>
      <c r="M774" t="s">
        <v>78</v>
      </c>
      <c r="N774" t="s">
        <v>2737</v>
      </c>
      <c r="O774" t="s">
        <v>74</v>
      </c>
      <c r="P774" t="s">
        <v>74</v>
      </c>
      <c r="Q774" t="s">
        <v>74</v>
      </c>
      <c r="R774" t="s">
        <v>74</v>
      </c>
      <c r="S774" t="s">
        <v>74</v>
      </c>
      <c r="T774" t="s">
        <v>74</v>
      </c>
      <c r="U774" t="s">
        <v>9975</v>
      </c>
      <c r="V774" t="s">
        <v>9976</v>
      </c>
      <c r="W774" t="s">
        <v>9977</v>
      </c>
      <c r="X774" t="s">
        <v>9978</v>
      </c>
      <c r="Y774" t="s">
        <v>9979</v>
      </c>
      <c r="Z774" t="s">
        <v>9980</v>
      </c>
      <c r="AA774" t="s">
        <v>9981</v>
      </c>
      <c r="AB774" t="s">
        <v>9982</v>
      </c>
      <c r="AC774" t="s">
        <v>74</v>
      </c>
      <c r="AD774" t="s">
        <v>74</v>
      </c>
      <c r="AE774" t="s">
        <v>74</v>
      </c>
      <c r="AF774" t="s">
        <v>74</v>
      </c>
      <c r="AG774">
        <v>32</v>
      </c>
      <c r="AH774">
        <v>75</v>
      </c>
      <c r="AI774">
        <v>82</v>
      </c>
      <c r="AJ774">
        <v>3</v>
      </c>
      <c r="AK774">
        <v>51</v>
      </c>
      <c r="AL774" t="s">
        <v>4064</v>
      </c>
      <c r="AM774" t="s">
        <v>3281</v>
      </c>
      <c r="AN774" t="s">
        <v>4065</v>
      </c>
      <c r="AO774" t="s">
        <v>9983</v>
      </c>
      <c r="AP774" t="s">
        <v>9984</v>
      </c>
      <c r="AQ774" t="s">
        <v>74</v>
      </c>
      <c r="AR774" t="s">
        <v>9985</v>
      </c>
      <c r="AS774" t="s">
        <v>9986</v>
      </c>
      <c r="AT774" t="s">
        <v>9987</v>
      </c>
      <c r="AU774">
        <v>2008</v>
      </c>
      <c r="AV774">
        <v>80</v>
      </c>
      <c r="AW774">
        <v>5</v>
      </c>
      <c r="AX774" t="s">
        <v>74</v>
      </c>
      <c r="AY774" t="s">
        <v>74</v>
      </c>
      <c r="AZ774" t="s">
        <v>74</v>
      </c>
      <c r="BA774" t="s">
        <v>74</v>
      </c>
      <c r="BB774">
        <v>1649</v>
      </c>
      <c r="BC774">
        <v>1655</v>
      </c>
      <c r="BD774" t="s">
        <v>74</v>
      </c>
      <c r="BE774" t="s">
        <v>9988</v>
      </c>
      <c r="BF774" t="str">
        <f>HYPERLINK("http://dx.doi.org/10.1021/ac701655x","http://dx.doi.org/10.1021/ac701655x")</f>
        <v>http://dx.doi.org/10.1021/ac701655x</v>
      </c>
      <c r="BG774" t="s">
        <v>74</v>
      </c>
      <c r="BH774" t="s">
        <v>74</v>
      </c>
      <c r="BI774">
        <v>7</v>
      </c>
      <c r="BJ774" t="s">
        <v>9989</v>
      </c>
      <c r="BK774" t="s">
        <v>419</v>
      </c>
      <c r="BL774" t="s">
        <v>3834</v>
      </c>
      <c r="BM774" t="s">
        <v>9990</v>
      </c>
      <c r="BN774">
        <v>18247516</v>
      </c>
      <c r="BO774" t="s">
        <v>74</v>
      </c>
      <c r="BP774" t="s">
        <v>74</v>
      </c>
      <c r="BQ774" t="s">
        <v>74</v>
      </c>
      <c r="BR774" t="s">
        <v>101</v>
      </c>
      <c r="BS774" t="s">
        <v>9991</v>
      </c>
      <c r="BT774" t="str">
        <f>HYPERLINK("https%3A%2F%2Fwww.webofscience.com%2Fwos%2Fwoscc%2Ffull-record%2FWOS:000253560900048","View Full Record in Web of Science")</f>
        <v>View Full Record in Web of Science</v>
      </c>
    </row>
    <row r="775" spans="1:72" x14ac:dyDescent="0.15">
      <c r="A775" t="s">
        <v>72</v>
      </c>
      <c r="B775" t="s">
        <v>9992</v>
      </c>
      <c r="C775" t="s">
        <v>74</v>
      </c>
      <c r="D775" t="s">
        <v>74</v>
      </c>
      <c r="E775" t="s">
        <v>74</v>
      </c>
      <c r="F775" t="s">
        <v>9993</v>
      </c>
      <c r="G775" t="s">
        <v>74</v>
      </c>
      <c r="H775" t="s">
        <v>74</v>
      </c>
      <c r="I775" t="s">
        <v>9994</v>
      </c>
      <c r="J775" t="s">
        <v>9995</v>
      </c>
      <c r="K775" t="s">
        <v>74</v>
      </c>
      <c r="L775" t="s">
        <v>74</v>
      </c>
      <c r="M775" t="s">
        <v>78</v>
      </c>
      <c r="N775" t="s">
        <v>2958</v>
      </c>
      <c r="O775" t="s">
        <v>74</v>
      </c>
      <c r="P775" t="s">
        <v>74</v>
      </c>
      <c r="Q775" t="s">
        <v>74</v>
      </c>
      <c r="R775" t="s">
        <v>74</v>
      </c>
      <c r="S775" t="s">
        <v>74</v>
      </c>
      <c r="T775" t="s">
        <v>74</v>
      </c>
      <c r="U775" t="s">
        <v>9996</v>
      </c>
      <c r="V775" t="s">
        <v>74</v>
      </c>
      <c r="W775" t="s">
        <v>9997</v>
      </c>
      <c r="X775" t="s">
        <v>9998</v>
      </c>
      <c r="Y775" t="s">
        <v>9999</v>
      </c>
      <c r="Z775" t="s">
        <v>10000</v>
      </c>
      <c r="AA775" t="s">
        <v>10001</v>
      </c>
      <c r="AB775" t="s">
        <v>10002</v>
      </c>
      <c r="AC775" t="s">
        <v>74</v>
      </c>
      <c r="AD775" t="s">
        <v>74</v>
      </c>
      <c r="AE775" t="s">
        <v>74</v>
      </c>
      <c r="AF775" t="s">
        <v>74</v>
      </c>
      <c r="AG775">
        <v>186</v>
      </c>
      <c r="AH775">
        <v>133</v>
      </c>
      <c r="AI775">
        <v>157</v>
      </c>
      <c r="AJ775">
        <v>1</v>
      </c>
      <c r="AK775">
        <v>58</v>
      </c>
      <c r="AL775" t="s">
        <v>10003</v>
      </c>
      <c r="AM775" t="s">
        <v>3281</v>
      </c>
      <c r="AN775" t="s">
        <v>10004</v>
      </c>
      <c r="AO775" t="s">
        <v>10005</v>
      </c>
      <c r="AP775" t="s">
        <v>10006</v>
      </c>
      <c r="AQ775" t="s">
        <v>74</v>
      </c>
      <c r="AR775" t="s">
        <v>10007</v>
      </c>
      <c r="AS775" t="s">
        <v>10008</v>
      </c>
      <c r="AT775" t="s">
        <v>9967</v>
      </c>
      <c r="AU775">
        <v>2008</v>
      </c>
      <c r="AV775">
        <v>74</v>
      </c>
      <c r="AW775">
        <v>6</v>
      </c>
      <c r="AX775" t="s">
        <v>74</v>
      </c>
      <c r="AY775" t="s">
        <v>74</v>
      </c>
      <c r="AZ775" t="s">
        <v>74</v>
      </c>
      <c r="BA775" t="s">
        <v>74</v>
      </c>
      <c r="BB775">
        <v>1677</v>
      </c>
      <c r="BC775">
        <v>1686</v>
      </c>
      <c r="BD775" t="s">
        <v>74</v>
      </c>
      <c r="BE775" t="s">
        <v>10009</v>
      </c>
      <c r="BF775" t="str">
        <f>HYPERLINK("http://dx.doi.org/10.1128/AEM.02000-07","http://dx.doi.org/10.1128/AEM.02000-07")</f>
        <v>http://dx.doi.org/10.1128/AEM.02000-07</v>
      </c>
      <c r="BG775" t="s">
        <v>74</v>
      </c>
      <c r="BH775" t="s">
        <v>74</v>
      </c>
      <c r="BI775">
        <v>10</v>
      </c>
      <c r="BJ775" t="s">
        <v>4936</v>
      </c>
      <c r="BK775" t="s">
        <v>419</v>
      </c>
      <c r="BL775" t="s">
        <v>4936</v>
      </c>
      <c r="BM775" t="s">
        <v>10010</v>
      </c>
      <c r="BN775">
        <v>18203855</v>
      </c>
      <c r="BO775" t="s">
        <v>3311</v>
      </c>
      <c r="BP775" t="s">
        <v>74</v>
      </c>
      <c r="BQ775" t="s">
        <v>74</v>
      </c>
      <c r="BR775" t="s">
        <v>101</v>
      </c>
      <c r="BS775" t="s">
        <v>10011</v>
      </c>
      <c r="BT775" t="str">
        <f>HYPERLINK("https%3A%2F%2Fwww.webofscience.com%2Fwos%2Fwoscc%2Ffull-record%2FWOS:000254065600001","View Full Record in Web of Science")</f>
        <v>View Full Record in Web of Science</v>
      </c>
    </row>
    <row r="776" spans="1:72" x14ac:dyDescent="0.15">
      <c r="A776" t="s">
        <v>72</v>
      </c>
      <c r="B776" t="s">
        <v>10012</v>
      </c>
      <c r="C776" t="s">
        <v>74</v>
      </c>
      <c r="D776" t="s">
        <v>74</v>
      </c>
      <c r="E776" t="s">
        <v>74</v>
      </c>
      <c r="F776" t="s">
        <v>10013</v>
      </c>
      <c r="G776" t="s">
        <v>74</v>
      </c>
      <c r="H776" t="s">
        <v>74</v>
      </c>
      <c r="I776" t="s">
        <v>10014</v>
      </c>
      <c r="J776" t="s">
        <v>10015</v>
      </c>
      <c r="K776" t="s">
        <v>74</v>
      </c>
      <c r="L776" t="s">
        <v>74</v>
      </c>
      <c r="M776" t="s">
        <v>78</v>
      </c>
      <c r="N776" t="s">
        <v>2737</v>
      </c>
      <c r="O776" t="s">
        <v>74</v>
      </c>
      <c r="P776" t="s">
        <v>74</v>
      </c>
      <c r="Q776" t="s">
        <v>74</v>
      </c>
      <c r="R776" t="s">
        <v>74</v>
      </c>
      <c r="S776" t="s">
        <v>74</v>
      </c>
      <c r="T776" t="s">
        <v>10016</v>
      </c>
      <c r="U776" t="s">
        <v>10017</v>
      </c>
      <c r="V776" t="s">
        <v>10018</v>
      </c>
      <c r="W776" t="s">
        <v>10019</v>
      </c>
      <c r="X776" t="s">
        <v>10020</v>
      </c>
      <c r="Y776" t="s">
        <v>10021</v>
      </c>
      <c r="Z776" t="s">
        <v>10022</v>
      </c>
      <c r="AA776" t="s">
        <v>10023</v>
      </c>
      <c r="AB776" t="s">
        <v>10024</v>
      </c>
      <c r="AC776" t="s">
        <v>74</v>
      </c>
      <c r="AD776" t="s">
        <v>74</v>
      </c>
      <c r="AE776" t="s">
        <v>74</v>
      </c>
      <c r="AF776" t="s">
        <v>74</v>
      </c>
      <c r="AG776">
        <v>46</v>
      </c>
      <c r="AH776">
        <v>11</v>
      </c>
      <c r="AI776">
        <v>12</v>
      </c>
      <c r="AJ776">
        <v>1</v>
      </c>
      <c r="AK776">
        <v>6</v>
      </c>
      <c r="AL776" t="s">
        <v>10025</v>
      </c>
      <c r="AM776" t="s">
        <v>10026</v>
      </c>
      <c r="AN776" t="s">
        <v>10027</v>
      </c>
      <c r="AO776" t="s">
        <v>10028</v>
      </c>
      <c r="AP776" t="s">
        <v>10029</v>
      </c>
      <c r="AQ776" t="s">
        <v>74</v>
      </c>
      <c r="AR776" t="s">
        <v>10015</v>
      </c>
      <c r="AS776" t="s">
        <v>10030</v>
      </c>
      <c r="AT776" t="s">
        <v>9967</v>
      </c>
      <c r="AU776">
        <v>2008</v>
      </c>
      <c r="AV776">
        <v>61</v>
      </c>
      <c r="AW776">
        <v>1</v>
      </c>
      <c r="AX776" t="s">
        <v>74</v>
      </c>
      <c r="AY776" t="s">
        <v>74</v>
      </c>
      <c r="AZ776" t="s">
        <v>74</v>
      </c>
      <c r="BA776" t="s">
        <v>74</v>
      </c>
      <c r="BB776">
        <v>76</v>
      </c>
      <c r="BC776">
        <v>86</v>
      </c>
      <c r="BD776" t="s">
        <v>74</v>
      </c>
      <c r="BE776" t="s">
        <v>74</v>
      </c>
      <c r="BF776" t="s">
        <v>74</v>
      </c>
      <c r="BG776" t="s">
        <v>74</v>
      </c>
      <c r="BH776" t="s">
        <v>74</v>
      </c>
      <c r="BI776">
        <v>11</v>
      </c>
      <c r="BJ776" t="s">
        <v>5991</v>
      </c>
      <c r="BK776" t="s">
        <v>419</v>
      </c>
      <c r="BL776" t="s">
        <v>5992</v>
      </c>
      <c r="BM776" t="s">
        <v>10031</v>
      </c>
      <c r="BN776" t="s">
        <v>74</v>
      </c>
      <c r="BO776" t="s">
        <v>74</v>
      </c>
      <c r="BP776" t="s">
        <v>74</v>
      </c>
      <c r="BQ776" t="s">
        <v>74</v>
      </c>
      <c r="BR776" t="s">
        <v>101</v>
      </c>
      <c r="BS776" t="s">
        <v>10032</v>
      </c>
      <c r="BT776" t="str">
        <f>HYPERLINK("https%3A%2F%2Fwww.webofscience.com%2Fwos%2Fwoscc%2Ffull-record%2FWOS:000254658200007","View Full Record in Web of Science")</f>
        <v>View Full Record in Web of Science</v>
      </c>
    </row>
    <row r="777" spans="1:72" x14ac:dyDescent="0.15">
      <c r="A777" t="s">
        <v>72</v>
      </c>
      <c r="B777" t="s">
        <v>10033</v>
      </c>
      <c r="C777" t="s">
        <v>74</v>
      </c>
      <c r="D777" t="s">
        <v>74</v>
      </c>
      <c r="E777" t="s">
        <v>74</v>
      </c>
      <c r="F777" t="s">
        <v>10034</v>
      </c>
      <c r="G777" t="s">
        <v>74</v>
      </c>
      <c r="H777" t="s">
        <v>74</v>
      </c>
      <c r="I777" t="s">
        <v>10035</v>
      </c>
      <c r="J777" t="s">
        <v>10036</v>
      </c>
      <c r="K777" t="s">
        <v>74</v>
      </c>
      <c r="L777" t="s">
        <v>74</v>
      </c>
      <c r="M777" t="s">
        <v>78</v>
      </c>
      <c r="N777" t="s">
        <v>3318</v>
      </c>
      <c r="O777" t="s">
        <v>10037</v>
      </c>
      <c r="P777" t="s">
        <v>10038</v>
      </c>
      <c r="Q777" t="s">
        <v>10039</v>
      </c>
      <c r="R777" t="s">
        <v>74</v>
      </c>
      <c r="S777" t="s">
        <v>74</v>
      </c>
      <c r="T777" t="s">
        <v>10040</v>
      </c>
      <c r="U777" t="s">
        <v>10041</v>
      </c>
      <c r="V777" t="s">
        <v>10042</v>
      </c>
      <c r="W777" t="s">
        <v>10043</v>
      </c>
      <c r="X777" t="s">
        <v>10044</v>
      </c>
      <c r="Y777" t="s">
        <v>10045</v>
      </c>
      <c r="Z777" t="s">
        <v>10046</v>
      </c>
      <c r="AA777" t="s">
        <v>10047</v>
      </c>
      <c r="AB777" t="s">
        <v>10048</v>
      </c>
      <c r="AC777" t="s">
        <v>74</v>
      </c>
      <c r="AD777" t="s">
        <v>74</v>
      </c>
      <c r="AE777" t="s">
        <v>74</v>
      </c>
      <c r="AF777" t="s">
        <v>74</v>
      </c>
      <c r="AG777">
        <v>10</v>
      </c>
      <c r="AH777">
        <v>1</v>
      </c>
      <c r="AI777">
        <v>1</v>
      </c>
      <c r="AJ777">
        <v>0</v>
      </c>
      <c r="AK777">
        <v>5</v>
      </c>
      <c r="AL777" t="s">
        <v>4609</v>
      </c>
      <c r="AM777" t="s">
        <v>4610</v>
      </c>
      <c r="AN777" t="s">
        <v>10049</v>
      </c>
      <c r="AO777" t="s">
        <v>10050</v>
      </c>
      <c r="AP777" t="s">
        <v>10051</v>
      </c>
      <c r="AQ777" t="s">
        <v>74</v>
      </c>
      <c r="AR777" t="s">
        <v>10052</v>
      </c>
      <c r="AS777" t="s">
        <v>10053</v>
      </c>
      <c r="AT777" t="s">
        <v>9967</v>
      </c>
      <c r="AU777">
        <v>2008</v>
      </c>
      <c r="AV777">
        <v>329</v>
      </c>
      <c r="AW777">
        <v>3</v>
      </c>
      <c r="AX777" t="s">
        <v>74</v>
      </c>
      <c r="AY777" t="s">
        <v>74</v>
      </c>
      <c r="AZ777" t="s">
        <v>74</v>
      </c>
      <c r="BA777" t="s">
        <v>74</v>
      </c>
      <c r="BB777">
        <v>326</v>
      </c>
      <c r="BC777">
        <v>329</v>
      </c>
      <c r="BD777" t="s">
        <v>74</v>
      </c>
      <c r="BE777" t="s">
        <v>10054</v>
      </c>
      <c r="BF777" t="str">
        <f>HYPERLINK("http://dx.doi.org/10.1002/asna.200710941","http://dx.doi.org/10.1002/asna.200710941")</f>
        <v>http://dx.doi.org/10.1002/asna.200710941</v>
      </c>
      <c r="BG777" t="s">
        <v>74</v>
      </c>
      <c r="BH777" t="s">
        <v>74</v>
      </c>
      <c r="BI777">
        <v>4</v>
      </c>
      <c r="BJ777" t="s">
        <v>3794</v>
      </c>
      <c r="BK777" t="s">
        <v>99</v>
      </c>
      <c r="BL777" t="s">
        <v>3794</v>
      </c>
      <c r="BM777" t="s">
        <v>10055</v>
      </c>
      <c r="BN777" t="s">
        <v>74</v>
      </c>
      <c r="BO777" t="s">
        <v>3290</v>
      </c>
      <c r="BP777" t="s">
        <v>74</v>
      </c>
      <c r="BQ777" t="s">
        <v>74</v>
      </c>
      <c r="BR777" t="s">
        <v>101</v>
      </c>
      <c r="BS777" t="s">
        <v>10056</v>
      </c>
      <c r="BT777" t="str">
        <f>HYPERLINK("https%3A%2F%2Fwww.webofscience.com%2Fwos%2Fwoscc%2Ffull-record%2FWOS:000254546200029","View Full Record in Web of Science")</f>
        <v>View Full Record in Web of Science</v>
      </c>
    </row>
    <row r="778" spans="1:72" x14ac:dyDescent="0.15">
      <c r="A778" t="s">
        <v>72</v>
      </c>
      <c r="B778" t="s">
        <v>10057</v>
      </c>
      <c r="C778" t="s">
        <v>74</v>
      </c>
      <c r="D778" t="s">
        <v>74</v>
      </c>
      <c r="E778" t="s">
        <v>74</v>
      </c>
      <c r="F778" t="s">
        <v>10058</v>
      </c>
      <c r="G778" t="s">
        <v>74</v>
      </c>
      <c r="H778" t="s">
        <v>74</v>
      </c>
      <c r="I778" t="s">
        <v>10059</v>
      </c>
      <c r="J778" t="s">
        <v>10060</v>
      </c>
      <c r="K778" t="s">
        <v>74</v>
      </c>
      <c r="L778" t="s">
        <v>74</v>
      </c>
      <c r="M778" t="s">
        <v>78</v>
      </c>
      <c r="N778" t="s">
        <v>2958</v>
      </c>
      <c r="O778" t="s">
        <v>74</v>
      </c>
      <c r="P778" t="s">
        <v>74</v>
      </c>
      <c r="Q778" t="s">
        <v>74</v>
      </c>
      <c r="R778" t="s">
        <v>74</v>
      </c>
      <c r="S778" t="s">
        <v>74</v>
      </c>
      <c r="T778" t="s">
        <v>74</v>
      </c>
      <c r="U778" t="s">
        <v>10061</v>
      </c>
      <c r="V778" t="s">
        <v>10062</v>
      </c>
      <c r="W778" t="s">
        <v>10063</v>
      </c>
      <c r="X778" t="s">
        <v>10064</v>
      </c>
      <c r="Y778" t="s">
        <v>10065</v>
      </c>
      <c r="Z778" t="s">
        <v>10066</v>
      </c>
      <c r="AA778" t="s">
        <v>10067</v>
      </c>
      <c r="AB778" t="s">
        <v>74</v>
      </c>
      <c r="AC778" t="s">
        <v>74</v>
      </c>
      <c r="AD778" t="s">
        <v>74</v>
      </c>
      <c r="AE778" t="s">
        <v>74</v>
      </c>
      <c r="AF778" t="s">
        <v>74</v>
      </c>
      <c r="AG778">
        <v>129</v>
      </c>
      <c r="AH778">
        <v>23</v>
      </c>
      <c r="AI778">
        <v>30</v>
      </c>
      <c r="AJ778">
        <v>0</v>
      </c>
      <c r="AK778">
        <v>64</v>
      </c>
      <c r="AL778" t="s">
        <v>10068</v>
      </c>
      <c r="AM778" t="s">
        <v>10069</v>
      </c>
      <c r="AN778" t="s">
        <v>10070</v>
      </c>
      <c r="AO778" t="s">
        <v>10071</v>
      </c>
      <c r="AP778" t="s">
        <v>10072</v>
      </c>
      <c r="AQ778" t="s">
        <v>74</v>
      </c>
      <c r="AR778" t="s">
        <v>10073</v>
      </c>
      <c r="AS778" t="s">
        <v>10074</v>
      </c>
      <c r="AT778" t="s">
        <v>9967</v>
      </c>
      <c r="AU778">
        <v>2008</v>
      </c>
      <c r="AV778">
        <v>46</v>
      </c>
      <c r="AW778">
        <v>1</v>
      </c>
      <c r="AX778" t="s">
        <v>74</v>
      </c>
      <c r="AY778" t="s">
        <v>74</v>
      </c>
      <c r="AZ778" t="s">
        <v>74</v>
      </c>
      <c r="BA778" t="s">
        <v>74</v>
      </c>
      <c r="BB778">
        <v>69</v>
      </c>
      <c r="BC778">
        <v>92</v>
      </c>
      <c r="BD778" t="s">
        <v>74</v>
      </c>
      <c r="BE778" t="s">
        <v>10075</v>
      </c>
      <c r="BF778" t="str">
        <f>HYPERLINK("http://dx.doi.org/10.3137/ao.460104","http://dx.doi.org/10.3137/ao.460104")</f>
        <v>http://dx.doi.org/10.3137/ao.460104</v>
      </c>
      <c r="BG778" t="s">
        <v>74</v>
      </c>
      <c r="BH778" t="s">
        <v>74</v>
      </c>
      <c r="BI778">
        <v>24</v>
      </c>
      <c r="BJ778" t="s">
        <v>10076</v>
      </c>
      <c r="BK778" t="s">
        <v>419</v>
      </c>
      <c r="BL778" t="s">
        <v>10076</v>
      </c>
      <c r="BM778" t="s">
        <v>10077</v>
      </c>
      <c r="BN778" t="s">
        <v>74</v>
      </c>
      <c r="BO778" t="s">
        <v>74</v>
      </c>
      <c r="BP778" t="s">
        <v>74</v>
      </c>
      <c r="BQ778" t="s">
        <v>74</v>
      </c>
      <c r="BR778" t="s">
        <v>101</v>
      </c>
      <c r="BS778" t="s">
        <v>10078</v>
      </c>
      <c r="BT778" t="str">
        <f>HYPERLINK("https%3A%2F%2Fwww.webofscience.com%2Fwos%2Fwoscc%2Ffull-record%2FWOS:000255372300005","View Full Record in Web of Science")</f>
        <v>View Full Record in Web of Science</v>
      </c>
    </row>
    <row r="779" spans="1:72" x14ac:dyDescent="0.15">
      <c r="A779" t="s">
        <v>72</v>
      </c>
      <c r="B779" t="s">
        <v>10079</v>
      </c>
      <c r="C779" t="s">
        <v>74</v>
      </c>
      <c r="D779" t="s">
        <v>74</v>
      </c>
      <c r="E779" t="s">
        <v>74</v>
      </c>
      <c r="F779" t="s">
        <v>10080</v>
      </c>
      <c r="G779" t="s">
        <v>74</v>
      </c>
      <c r="H779" t="s">
        <v>74</v>
      </c>
      <c r="I779" t="s">
        <v>10081</v>
      </c>
      <c r="J779" t="s">
        <v>8150</v>
      </c>
      <c r="K779" t="s">
        <v>74</v>
      </c>
      <c r="L779" t="s">
        <v>74</v>
      </c>
      <c r="M779" t="s">
        <v>78</v>
      </c>
      <c r="N779" t="s">
        <v>2737</v>
      </c>
      <c r="O779" t="s">
        <v>74</v>
      </c>
      <c r="P779" t="s">
        <v>74</v>
      </c>
      <c r="Q779" t="s">
        <v>74</v>
      </c>
      <c r="R779" t="s">
        <v>74</v>
      </c>
      <c r="S779" t="s">
        <v>74</v>
      </c>
      <c r="T779" t="s">
        <v>10082</v>
      </c>
      <c r="U779" t="s">
        <v>10083</v>
      </c>
      <c r="V779" t="s">
        <v>10084</v>
      </c>
      <c r="W779" t="s">
        <v>10085</v>
      </c>
      <c r="X779" t="s">
        <v>5380</v>
      </c>
      <c r="Y779" t="s">
        <v>5762</v>
      </c>
      <c r="Z779" t="s">
        <v>5382</v>
      </c>
      <c r="AA779" t="s">
        <v>74</v>
      </c>
      <c r="AB779" t="s">
        <v>74</v>
      </c>
      <c r="AC779" t="s">
        <v>74</v>
      </c>
      <c r="AD779" t="s">
        <v>74</v>
      </c>
      <c r="AE779" t="s">
        <v>74</v>
      </c>
      <c r="AF779" t="s">
        <v>74</v>
      </c>
      <c r="AG779">
        <v>39</v>
      </c>
      <c r="AH779">
        <v>26</v>
      </c>
      <c r="AI779">
        <v>45</v>
      </c>
      <c r="AJ779">
        <v>6</v>
      </c>
      <c r="AK779">
        <v>77</v>
      </c>
      <c r="AL779" t="s">
        <v>3007</v>
      </c>
      <c r="AM779" t="s">
        <v>3008</v>
      </c>
      <c r="AN779" t="s">
        <v>3009</v>
      </c>
      <c r="AO779" t="s">
        <v>8155</v>
      </c>
      <c r="AP779" t="s">
        <v>8174</v>
      </c>
      <c r="AQ779" t="s">
        <v>74</v>
      </c>
      <c r="AR779" t="s">
        <v>8156</v>
      </c>
      <c r="AS779" t="s">
        <v>8157</v>
      </c>
      <c r="AT779" t="s">
        <v>9967</v>
      </c>
      <c r="AU779">
        <v>2008</v>
      </c>
      <c r="AV779">
        <v>42</v>
      </c>
      <c r="AW779">
        <v>10</v>
      </c>
      <c r="AX779" t="s">
        <v>74</v>
      </c>
      <c r="AY779" t="s">
        <v>74</v>
      </c>
      <c r="AZ779" t="s">
        <v>74</v>
      </c>
      <c r="BA779" t="s">
        <v>74</v>
      </c>
      <c r="BB779">
        <v>2437</v>
      </c>
      <c r="BC779">
        <v>2447</v>
      </c>
      <c r="BD779" t="s">
        <v>74</v>
      </c>
      <c r="BE779" t="s">
        <v>10086</v>
      </c>
      <c r="BF779" t="str">
        <f>HYPERLINK("http://dx.doi.org/10.1016/j.atmosenv.2007.12.016","http://dx.doi.org/10.1016/j.atmosenv.2007.12.016")</f>
        <v>http://dx.doi.org/10.1016/j.atmosenv.2007.12.016</v>
      </c>
      <c r="BG779" t="s">
        <v>74</v>
      </c>
      <c r="BH779" t="s">
        <v>74</v>
      </c>
      <c r="BI779">
        <v>11</v>
      </c>
      <c r="BJ779" t="s">
        <v>4455</v>
      </c>
      <c r="BK779" t="s">
        <v>419</v>
      </c>
      <c r="BL779" t="s">
        <v>4456</v>
      </c>
      <c r="BM779" t="s">
        <v>10087</v>
      </c>
      <c r="BN779" t="s">
        <v>74</v>
      </c>
      <c r="BO779" t="s">
        <v>74</v>
      </c>
      <c r="BP779" t="s">
        <v>74</v>
      </c>
      <c r="BQ779" t="s">
        <v>74</v>
      </c>
      <c r="BR779" t="s">
        <v>101</v>
      </c>
      <c r="BS779" t="s">
        <v>10088</v>
      </c>
      <c r="BT779" t="str">
        <f>HYPERLINK("https%3A%2F%2Fwww.webofscience.com%2Fwos%2Fwoscc%2Ffull-record%2FWOS:000255163200016","View Full Record in Web of Science")</f>
        <v>View Full Record in Web of Science</v>
      </c>
    </row>
    <row r="780" spans="1:72" x14ac:dyDescent="0.15">
      <c r="A780" t="s">
        <v>72</v>
      </c>
      <c r="B780" t="s">
        <v>10089</v>
      </c>
      <c r="C780" t="s">
        <v>74</v>
      </c>
      <c r="D780" t="s">
        <v>74</v>
      </c>
      <c r="E780" t="s">
        <v>74</v>
      </c>
      <c r="F780" t="s">
        <v>10090</v>
      </c>
      <c r="G780" t="s">
        <v>74</v>
      </c>
      <c r="H780" t="s">
        <v>74</v>
      </c>
      <c r="I780" t="s">
        <v>10091</v>
      </c>
      <c r="J780" t="s">
        <v>10092</v>
      </c>
      <c r="K780" t="s">
        <v>74</v>
      </c>
      <c r="L780" t="s">
        <v>74</v>
      </c>
      <c r="M780" t="s">
        <v>78</v>
      </c>
      <c r="N780" t="s">
        <v>2737</v>
      </c>
      <c r="O780" t="s">
        <v>74</v>
      </c>
      <c r="P780" t="s">
        <v>74</v>
      </c>
      <c r="Q780" t="s">
        <v>74</v>
      </c>
      <c r="R780" t="s">
        <v>74</v>
      </c>
      <c r="S780" t="s">
        <v>74</v>
      </c>
      <c r="T780" t="s">
        <v>10093</v>
      </c>
      <c r="U780" t="s">
        <v>10094</v>
      </c>
      <c r="V780" t="s">
        <v>10095</v>
      </c>
      <c r="W780" t="s">
        <v>10096</v>
      </c>
      <c r="X780" t="s">
        <v>10097</v>
      </c>
      <c r="Y780" t="s">
        <v>9477</v>
      </c>
      <c r="Z780" t="s">
        <v>9478</v>
      </c>
      <c r="AA780" t="s">
        <v>9479</v>
      </c>
      <c r="AB780" t="s">
        <v>74</v>
      </c>
      <c r="AC780" t="s">
        <v>74</v>
      </c>
      <c r="AD780" t="s">
        <v>74</v>
      </c>
      <c r="AE780" t="s">
        <v>74</v>
      </c>
      <c r="AF780" t="s">
        <v>74</v>
      </c>
      <c r="AG780">
        <v>37</v>
      </c>
      <c r="AH780">
        <v>32</v>
      </c>
      <c r="AI780">
        <v>35</v>
      </c>
      <c r="AJ780">
        <v>0</v>
      </c>
      <c r="AK780">
        <v>27</v>
      </c>
      <c r="AL780" t="s">
        <v>2746</v>
      </c>
      <c r="AM780" t="s">
        <v>2747</v>
      </c>
      <c r="AN780" t="s">
        <v>6934</v>
      </c>
      <c r="AO780" t="s">
        <v>10098</v>
      </c>
      <c r="AP780" t="s">
        <v>74</v>
      </c>
      <c r="AQ780" t="s">
        <v>74</v>
      </c>
      <c r="AR780" t="s">
        <v>10099</v>
      </c>
      <c r="AS780" t="s">
        <v>10100</v>
      </c>
      <c r="AT780" t="s">
        <v>9967</v>
      </c>
      <c r="AU780">
        <v>2008</v>
      </c>
      <c r="AV780">
        <v>62</v>
      </c>
      <c r="AW780">
        <v>5</v>
      </c>
      <c r="AX780" t="s">
        <v>74</v>
      </c>
      <c r="AY780" t="s">
        <v>74</v>
      </c>
      <c r="AZ780" t="s">
        <v>74</v>
      </c>
      <c r="BA780" t="s">
        <v>74</v>
      </c>
      <c r="BB780">
        <v>681</v>
      </c>
      <c r="BC780">
        <v>688</v>
      </c>
      <c r="BD780" t="s">
        <v>74</v>
      </c>
      <c r="BE780" t="s">
        <v>10101</v>
      </c>
      <c r="BF780" t="str">
        <f>HYPERLINK("http://dx.doi.org/10.1007/s00265-007-0492-1","http://dx.doi.org/10.1007/s00265-007-0492-1")</f>
        <v>http://dx.doi.org/10.1007/s00265-007-0492-1</v>
      </c>
      <c r="BG780" t="s">
        <v>74</v>
      </c>
      <c r="BH780" t="s">
        <v>74</v>
      </c>
      <c r="BI780">
        <v>8</v>
      </c>
      <c r="BJ780" t="s">
        <v>10102</v>
      </c>
      <c r="BK780" t="s">
        <v>419</v>
      </c>
      <c r="BL780" t="s">
        <v>10103</v>
      </c>
      <c r="BM780" t="s">
        <v>10104</v>
      </c>
      <c r="BN780" t="s">
        <v>74</v>
      </c>
      <c r="BO780" t="s">
        <v>74</v>
      </c>
      <c r="BP780" t="s">
        <v>74</v>
      </c>
      <c r="BQ780" t="s">
        <v>74</v>
      </c>
      <c r="BR780" t="s">
        <v>101</v>
      </c>
      <c r="BS780" t="s">
        <v>10105</v>
      </c>
      <c r="BT780" t="str">
        <f>HYPERLINK("https%3A%2F%2Fwww.webofscience.com%2Fwos%2Fwoscc%2Ffull-record%2FWOS:000252888000005","View Full Record in Web of Science")</f>
        <v>View Full Record in Web of Science</v>
      </c>
    </row>
    <row r="781" spans="1:72" x14ac:dyDescent="0.15">
      <c r="A781" t="s">
        <v>72</v>
      </c>
      <c r="B781" t="s">
        <v>5744</v>
      </c>
      <c r="C781" t="s">
        <v>74</v>
      </c>
      <c r="D781" t="s">
        <v>74</v>
      </c>
      <c r="E781" t="s">
        <v>74</v>
      </c>
      <c r="F781" t="s">
        <v>5744</v>
      </c>
      <c r="G781" t="s">
        <v>74</v>
      </c>
      <c r="H781" t="s">
        <v>74</v>
      </c>
      <c r="I781" t="s">
        <v>10106</v>
      </c>
      <c r="J781" t="s">
        <v>10107</v>
      </c>
      <c r="K781" t="s">
        <v>74</v>
      </c>
      <c r="L781" t="s">
        <v>74</v>
      </c>
      <c r="M781" t="s">
        <v>78</v>
      </c>
      <c r="N781" t="s">
        <v>3116</v>
      </c>
      <c r="O781" t="s">
        <v>74</v>
      </c>
      <c r="P781" t="s">
        <v>74</v>
      </c>
      <c r="Q781" t="s">
        <v>74</v>
      </c>
      <c r="R781" t="s">
        <v>74</v>
      </c>
      <c r="S781" t="s">
        <v>74</v>
      </c>
      <c r="T781" t="s">
        <v>74</v>
      </c>
      <c r="U781" t="s">
        <v>74</v>
      </c>
      <c r="V781" t="s">
        <v>74</v>
      </c>
      <c r="W781" t="s">
        <v>74</v>
      </c>
      <c r="X781" t="s">
        <v>74</v>
      </c>
      <c r="Y781" t="s">
        <v>74</v>
      </c>
      <c r="Z781" t="s">
        <v>74</v>
      </c>
      <c r="AA781" t="s">
        <v>74</v>
      </c>
      <c r="AB781" t="s">
        <v>74</v>
      </c>
      <c r="AC781" t="s">
        <v>74</v>
      </c>
      <c r="AD781" t="s">
        <v>74</v>
      </c>
      <c r="AE781" t="s">
        <v>74</v>
      </c>
      <c r="AF781" t="s">
        <v>74</v>
      </c>
      <c r="AG781">
        <v>0</v>
      </c>
      <c r="AH781">
        <v>0</v>
      </c>
      <c r="AI781">
        <v>0</v>
      </c>
      <c r="AJ781">
        <v>0</v>
      </c>
      <c r="AK781">
        <v>1</v>
      </c>
      <c r="AL781" t="s">
        <v>3716</v>
      </c>
      <c r="AM781" t="s">
        <v>3717</v>
      </c>
      <c r="AN781" t="s">
        <v>3738</v>
      </c>
      <c r="AO781" t="s">
        <v>10108</v>
      </c>
      <c r="AP781" t="s">
        <v>10109</v>
      </c>
      <c r="AQ781" t="s">
        <v>74</v>
      </c>
      <c r="AR781" t="s">
        <v>10110</v>
      </c>
      <c r="AS781" t="s">
        <v>10111</v>
      </c>
      <c r="AT781" t="s">
        <v>9967</v>
      </c>
      <c r="AU781">
        <v>2008</v>
      </c>
      <c r="AV781">
        <v>89</v>
      </c>
      <c r="AW781">
        <v>3</v>
      </c>
      <c r="AX781" t="s">
        <v>74</v>
      </c>
      <c r="AY781" t="s">
        <v>74</v>
      </c>
      <c r="AZ781" t="s">
        <v>74</v>
      </c>
      <c r="BA781" t="s">
        <v>74</v>
      </c>
      <c r="BB781">
        <v>292</v>
      </c>
      <c r="BC781">
        <v>293</v>
      </c>
      <c r="BD781" t="s">
        <v>74</v>
      </c>
      <c r="BE781" t="s">
        <v>74</v>
      </c>
      <c r="BF781" t="s">
        <v>74</v>
      </c>
      <c r="BG781" t="s">
        <v>74</v>
      </c>
      <c r="BH781" t="s">
        <v>74</v>
      </c>
      <c r="BI781">
        <v>2</v>
      </c>
      <c r="BJ781" t="s">
        <v>3071</v>
      </c>
      <c r="BK781" t="s">
        <v>419</v>
      </c>
      <c r="BL781" t="s">
        <v>3071</v>
      </c>
      <c r="BM781" t="s">
        <v>10112</v>
      </c>
      <c r="BN781" t="s">
        <v>74</v>
      </c>
      <c r="BO781" t="s">
        <v>74</v>
      </c>
      <c r="BP781" t="s">
        <v>74</v>
      </c>
      <c r="BQ781" t="s">
        <v>74</v>
      </c>
      <c r="BR781" t="s">
        <v>101</v>
      </c>
      <c r="BS781" t="s">
        <v>10113</v>
      </c>
      <c r="BT781" t="str">
        <f>HYPERLINK("https%3A%2F%2Fwww.webofscience.com%2Fwos%2Fwoscc%2Ffull-record%2FWOS:000254848800007","View Full Record in Web of Science")</f>
        <v>View Full Record in Web of Science</v>
      </c>
    </row>
    <row r="782" spans="1:72" x14ac:dyDescent="0.15">
      <c r="A782" t="s">
        <v>72</v>
      </c>
      <c r="B782" t="s">
        <v>10114</v>
      </c>
      <c r="C782" t="s">
        <v>74</v>
      </c>
      <c r="D782" t="s">
        <v>74</v>
      </c>
      <c r="E782" t="s">
        <v>74</v>
      </c>
      <c r="F782" t="s">
        <v>10115</v>
      </c>
      <c r="G782" t="s">
        <v>74</v>
      </c>
      <c r="H782" t="s">
        <v>74</v>
      </c>
      <c r="I782" t="s">
        <v>10116</v>
      </c>
      <c r="J782" t="s">
        <v>10117</v>
      </c>
      <c r="K782" t="s">
        <v>74</v>
      </c>
      <c r="L782" t="s">
        <v>74</v>
      </c>
      <c r="M782" t="s">
        <v>78</v>
      </c>
      <c r="N782" t="s">
        <v>4296</v>
      </c>
      <c r="O782" t="s">
        <v>74</v>
      </c>
      <c r="P782" t="s">
        <v>74</v>
      </c>
      <c r="Q782" t="s">
        <v>74</v>
      </c>
      <c r="R782" t="s">
        <v>74</v>
      </c>
      <c r="S782" t="s">
        <v>74</v>
      </c>
      <c r="T782" t="s">
        <v>74</v>
      </c>
      <c r="U782" t="s">
        <v>74</v>
      </c>
      <c r="V782" t="s">
        <v>74</v>
      </c>
      <c r="W782" t="s">
        <v>10118</v>
      </c>
      <c r="X782" t="s">
        <v>10119</v>
      </c>
      <c r="Y782" t="s">
        <v>10120</v>
      </c>
      <c r="Z782" t="s">
        <v>74</v>
      </c>
      <c r="AA782" t="s">
        <v>74</v>
      </c>
      <c r="AB782" t="s">
        <v>74</v>
      </c>
      <c r="AC782" t="s">
        <v>74</v>
      </c>
      <c r="AD782" t="s">
        <v>74</v>
      </c>
      <c r="AE782" t="s">
        <v>74</v>
      </c>
      <c r="AF782" t="s">
        <v>74</v>
      </c>
      <c r="AG782">
        <v>1</v>
      </c>
      <c r="AH782">
        <v>0</v>
      </c>
      <c r="AI782">
        <v>0</v>
      </c>
      <c r="AJ782">
        <v>0</v>
      </c>
      <c r="AK782">
        <v>0</v>
      </c>
      <c r="AL782" t="s">
        <v>88</v>
      </c>
      <c r="AM782" t="s">
        <v>89</v>
      </c>
      <c r="AN782" t="s">
        <v>90</v>
      </c>
      <c r="AO782" t="s">
        <v>10121</v>
      </c>
      <c r="AP782" t="s">
        <v>10122</v>
      </c>
      <c r="AQ782" t="s">
        <v>74</v>
      </c>
      <c r="AR782" t="s">
        <v>10123</v>
      </c>
      <c r="AS782" t="s">
        <v>10124</v>
      </c>
      <c r="AT782" t="s">
        <v>10125</v>
      </c>
      <c r="AU782">
        <v>2008</v>
      </c>
      <c r="AV782">
        <v>52</v>
      </c>
      <c r="AW782">
        <v>1</v>
      </c>
      <c r="AX782" t="s">
        <v>74</v>
      </c>
      <c r="AY782" t="s">
        <v>74</v>
      </c>
      <c r="AZ782" t="s">
        <v>74</v>
      </c>
      <c r="BA782" t="s">
        <v>74</v>
      </c>
      <c r="BB782">
        <v>127</v>
      </c>
      <c r="BC782">
        <v>129</v>
      </c>
      <c r="BD782" t="s">
        <v>74</v>
      </c>
      <c r="BE782" t="s">
        <v>74</v>
      </c>
      <c r="BF782" t="s">
        <v>74</v>
      </c>
      <c r="BG782" t="s">
        <v>74</v>
      </c>
      <c r="BH782" t="s">
        <v>74</v>
      </c>
      <c r="BI782">
        <v>3</v>
      </c>
      <c r="BJ782" t="s">
        <v>10126</v>
      </c>
      <c r="BK782" t="s">
        <v>4307</v>
      </c>
      <c r="BL782" t="s">
        <v>10126</v>
      </c>
      <c r="BM782" t="s">
        <v>10127</v>
      </c>
      <c r="BN782" t="s">
        <v>74</v>
      </c>
      <c r="BO782" t="s">
        <v>74</v>
      </c>
      <c r="BP782" t="s">
        <v>74</v>
      </c>
      <c r="BQ782" t="s">
        <v>74</v>
      </c>
      <c r="BR782" t="s">
        <v>101</v>
      </c>
      <c r="BS782" t="s">
        <v>10128</v>
      </c>
      <c r="BT782" t="str">
        <f>HYPERLINK("https%3A%2F%2Fwww.webofscience.com%2Fwos%2Fwoscc%2Ffull-record%2FWOS:000253041000014","View Full Record in Web of Science")</f>
        <v>View Full Record in Web of Science</v>
      </c>
    </row>
    <row r="783" spans="1:72" x14ac:dyDescent="0.15">
      <c r="A783" t="s">
        <v>72</v>
      </c>
      <c r="B783" t="s">
        <v>10129</v>
      </c>
      <c r="C783" t="s">
        <v>74</v>
      </c>
      <c r="D783" t="s">
        <v>74</v>
      </c>
      <c r="E783" t="s">
        <v>74</v>
      </c>
      <c r="F783" t="s">
        <v>10130</v>
      </c>
      <c r="G783" t="s">
        <v>74</v>
      </c>
      <c r="H783" t="s">
        <v>74</v>
      </c>
      <c r="I783" t="s">
        <v>10131</v>
      </c>
      <c r="J783" t="s">
        <v>10132</v>
      </c>
      <c r="K783" t="s">
        <v>74</v>
      </c>
      <c r="L783" t="s">
        <v>74</v>
      </c>
      <c r="M783" t="s">
        <v>78</v>
      </c>
      <c r="N783" t="s">
        <v>2737</v>
      </c>
      <c r="O783" t="s">
        <v>74</v>
      </c>
      <c r="P783" t="s">
        <v>74</v>
      </c>
      <c r="Q783" t="s">
        <v>74</v>
      </c>
      <c r="R783" t="s">
        <v>74</v>
      </c>
      <c r="S783" t="s">
        <v>74</v>
      </c>
      <c r="T783" t="s">
        <v>10133</v>
      </c>
      <c r="U783" t="s">
        <v>10134</v>
      </c>
      <c r="V783" t="s">
        <v>10135</v>
      </c>
      <c r="W783" t="s">
        <v>10136</v>
      </c>
      <c r="X783" t="s">
        <v>2786</v>
      </c>
      <c r="Y783" t="s">
        <v>10137</v>
      </c>
      <c r="Z783" t="s">
        <v>10138</v>
      </c>
      <c r="AA783" t="s">
        <v>10139</v>
      </c>
      <c r="AB783" t="s">
        <v>10140</v>
      </c>
      <c r="AC783" t="s">
        <v>10141</v>
      </c>
      <c r="AD783" t="s">
        <v>2792</v>
      </c>
      <c r="AE783" t="s">
        <v>74</v>
      </c>
      <c r="AF783" t="s">
        <v>74</v>
      </c>
      <c r="AG783">
        <v>51</v>
      </c>
      <c r="AH783">
        <v>79</v>
      </c>
      <c r="AI783">
        <v>85</v>
      </c>
      <c r="AJ783">
        <v>0</v>
      </c>
      <c r="AK783">
        <v>31</v>
      </c>
      <c r="AL783" t="s">
        <v>2746</v>
      </c>
      <c r="AM783" t="s">
        <v>2793</v>
      </c>
      <c r="AN783" t="s">
        <v>2794</v>
      </c>
      <c r="AO783" t="s">
        <v>10142</v>
      </c>
      <c r="AP783" t="s">
        <v>10143</v>
      </c>
      <c r="AQ783" t="s">
        <v>74</v>
      </c>
      <c r="AR783" t="s">
        <v>10144</v>
      </c>
      <c r="AS783" t="s">
        <v>10145</v>
      </c>
      <c r="AT783" t="s">
        <v>9967</v>
      </c>
      <c r="AU783">
        <v>2008</v>
      </c>
      <c r="AV783">
        <v>13</v>
      </c>
      <c r="AW783">
        <v>1</v>
      </c>
      <c r="AX783" t="s">
        <v>74</v>
      </c>
      <c r="AY783" t="s">
        <v>74</v>
      </c>
      <c r="AZ783" t="s">
        <v>74</v>
      </c>
      <c r="BA783" t="s">
        <v>74</v>
      </c>
      <c r="BB783">
        <v>39</v>
      </c>
      <c r="BC783">
        <v>49</v>
      </c>
      <c r="BD783" t="s">
        <v>74</v>
      </c>
      <c r="BE783" t="s">
        <v>10146</v>
      </c>
      <c r="BF783" t="str">
        <f>HYPERLINK("http://dx.doi.org/10.1007/s12192-008-0014-8","http://dx.doi.org/10.1007/s12192-008-0014-8")</f>
        <v>http://dx.doi.org/10.1007/s12192-008-0014-8</v>
      </c>
      <c r="BG783" t="s">
        <v>74</v>
      </c>
      <c r="BH783" t="s">
        <v>74</v>
      </c>
      <c r="BI783">
        <v>11</v>
      </c>
      <c r="BJ783" t="s">
        <v>10147</v>
      </c>
      <c r="BK783" t="s">
        <v>419</v>
      </c>
      <c r="BL783" t="s">
        <v>10147</v>
      </c>
      <c r="BM783" t="s">
        <v>10148</v>
      </c>
      <c r="BN783">
        <v>18347940</v>
      </c>
      <c r="BO783" t="s">
        <v>10149</v>
      </c>
      <c r="BP783" t="s">
        <v>74</v>
      </c>
      <c r="BQ783" t="s">
        <v>74</v>
      </c>
      <c r="BR783" t="s">
        <v>101</v>
      </c>
      <c r="BS783" t="s">
        <v>10150</v>
      </c>
      <c r="BT783" t="str">
        <f>HYPERLINK("https%3A%2F%2Fwww.webofscience.com%2Fwos%2Fwoscc%2Ffull-record%2FWOS:000254087600005","View Full Record in Web of Science")</f>
        <v>View Full Record in Web of Science</v>
      </c>
    </row>
    <row r="784" spans="1:72" x14ac:dyDescent="0.15">
      <c r="A784" t="s">
        <v>72</v>
      </c>
      <c r="B784" t="s">
        <v>10151</v>
      </c>
      <c r="C784" t="s">
        <v>74</v>
      </c>
      <c r="D784" t="s">
        <v>74</v>
      </c>
      <c r="E784" t="s">
        <v>74</v>
      </c>
      <c r="F784" t="s">
        <v>10152</v>
      </c>
      <c r="G784" t="s">
        <v>74</v>
      </c>
      <c r="H784" t="s">
        <v>74</v>
      </c>
      <c r="I784" t="s">
        <v>10153</v>
      </c>
      <c r="J784" t="s">
        <v>10132</v>
      </c>
      <c r="K784" t="s">
        <v>74</v>
      </c>
      <c r="L784" t="s">
        <v>74</v>
      </c>
      <c r="M784" t="s">
        <v>78</v>
      </c>
      <c r="N784" t="s">
        <v>2737</v>
      </c>
      <c r="O784" t="s">
        <v>74</v>
      </c>
      <c r="P784" t="s">
        <v>74</v>
      </c>
      <c r="Q784" t="s">
        <v>74</v>
      </c>
      <c r="R784" t="s">
        <v>74</v>
      </c>
      <c r="S784" t="s">
        <v>74</v>
      </c>
      <c r="T784" t="s">
        <v>10154</v>
      </c>
      <c r="U784" t="s">
        <v>10155</v>
      </c>
      <c r="V784" t="s">
        <v>10156</v>
      </c>
      <c r="W784" t="s">
        <v>10157</v>
      </c>
      <c r="X784" t="s">
        <v>2786</v>
      </c>
      <c r="Y784" t="s">
        <v>10137</v>
      </c>
      <c r="Z784" t="s">
        <v>10138</v>
      </c>
      <c r="AA784" t="s">
        <v>10158</v>
      </c>
      <c r="AB784" t="s">
        <v>10159</v>
      </c>
      <c r="AC784" t="s">
        <v>4152</v>
      </c>
      <c r="AD784" t="s">
        <v>3031</v>
      </c>
      <c r="AE784" t="s">
        <v>74</v>
      </c>
      <c r="AF784" t="s">
        <v>74</v>
      </c>
      <c r="AG784">
        <v>27</v>
      </c>
      <c r="AH784">
        <v>38</v>
      </c>
      <c r="AI784">
        <v>42</v>
      </c>
      <c r="AJ784">
        <v>0</v>
      </c>
      <c r="AK784">
        <v>12</v>
      </c>
      <c r="AL784" t="s">
        <v>2746</v>
      </c>
      <c r="AM784" t="s">
        <v>2793</v>
      </c>
      <c r="AN784" t="s">
        <v>2794</v>
      </c>
      <c r="AO784" t="s">
        <v>10142</v>
      </c>
      <c r="AP784" t="s">
        <v>10143</v>
      </c>
      <c r="AQ784" t="s">
        <v>74</v>
      </c>
      <c r="AR784" t="s">
        <v>10144</v>
      </c>
      <c r="AS784" t="s">
        <v>10145</v>
      </c>
      <c r="AT784" t="s">
        <v>9967</v>
      </c>
      <c r="AU784">
        <v>2008</v>
      </c>
      <c r="AV784">
        <v>13</v>
      </c>
      <c r="AW784">
        <v>1</v>
      </c>
      <c r="AX784" t="s">
        <v>74</v>
      </c>
      <c r="AY784" t="s">
        <v>74</v>
      </c>
      <c r="AZ784" t="s">
        <v>74</v>
      </c>
      <c r="BA784" t="s">
        <v>74</v>
      </c>
      <c r="BB784">
        <v>51</v>
      </c>
      <c r="BC784">
        <v>58</v>
      </c>
      <c r="BD784" t="s">
        <v>74</v>
      </c>
      <c r="BE784" t="s">
        <v>10160</v>
      </c>
      <c r="BF784" t="str">
        <f>HYPERLINK("http://dx.doi.org/10.1007/s12192-008-0015-7","http://dx.doi.org/10.1007/s12192-008-0015-7")</f>
        <v>http://dx.doi.org/10.1007/s12192-008-0015-7</v>
      </c>
      <c r="BG784" t="s">
        <v>74</v>
      </c>
      <c r="BH784" t="s">
        <v>74</v>
      </c>
      <c r="BI784">
        <v>8</v>
      </c>
      <c r="BJ784" t="s">
        <v>10147</v>
      </c>
      <c r="BK784" t="s">
        <v>419</v>
      </c>
      <c r="BL784" t="s">
        <v>10147</v>
      </c>
      <c r="BM784" t="s">
        <v>10148</v>
      </c>
      <c r="BN784">
        <v>18347941</v>
      </c>
      <c r="BO784" t="s">
        <v>10161</v>
      </c>
      <c r="BP784" t="s">
        <v>74</v>
      </c>
      <c r="BQ784" t="s">
        <v>74</v>
      </c>
      <c r="BR784" t="s">
        <v>101</v>
      </c>
      <c r="BS784" t="s">
        <v>10162</v>
      </c>
      <c r="BT784" t="str">
        <f>HYPERLINK("https%3A%2F%2Fwww.webofscience.com%2Fwos%2Fwoscc%2Ffull-record%2FWOS:000254087600006","View Full Record in Web of Science")</f>
        <v>View Full Record in Web of Science</v>
      </c>
    </row>
    <row r="785" spans="1:72" x14ac:dyDescent="0.15">
      <c r="A785" t="s">
        <v>72</v>
      </c>
      <c r="B785" t="s">
        <v>10163</v>
      </c>
      <c r="C785" t="s">
        <v>74</v>
      </c>
      <c r="D785" t="s">
        <v>74</v>
      </c>
      <c r="E785" t="s">
        <v>74</v>
      </c>
      <c r="F785" t="s">
        <v>10164</v>
      </c>
      <c r="G785" t="s">
        <v>74</v>
      </c>
      <c r="H785" t="s">
        <v>74</v>
      </c>
      <c r="I785" t="s">
        <v>10165</v>
      </c>
      <c r="J785" t="s">
        <v>10166</v>
      </c>
      <c r="K785" t="s">
        <v>74</v>
      </c>
      <c r="L785" t="s">
        <v>74</v>
      </c>
      <c r="M785" t="s">
        <v>3820</v>
      </c>
      <c r="N785" t="s">
        <v>2737</v>
      </c>
      <c r="O785" t="s">
        <v>74</v>
      </c>
      <c r="P785" t="s">
        <v>74</v>
      </c>
      <c r="Q785" t="s">
        <v>74</v>
      </c>
      <c r="R785" t="s">
        <v>74</v>
      </c>
      <c r="S785" t="s">
        <v>74</v>
      </c>
      <c r="T785" t="s">
        <v>10167</v>
      </c>
      <c r="U785" t="s">
        <v>74</v>
      </c>
      <c r="V785" t="s">
        <v>10168</v>
      </c>
      <c r="W785" t="s">
        <v>10169</v>
      </c>
      <c r="X785" t="s">
        <v>10170</v>
      </c>
      <c r="Y785" t="s">
        <v>10171</v>
      </c>
      <c r="Z785" t="s">
        <v>10172</v>
      </c>
      <c r="AA785" t="s">
        <v>74</v>
      </c>
      <c r="AB785" t="s">
        <v>74</v>
      </c>
      <c r="AC785" t="s">
        <v>74</v>
      </c>
      <c r="AD785" t="s">
        <v>74</v>
      </c>
      <c r="AE785" t="s">
        <v>74</v>
      </c>
      <c r="AF785" t="s">
        <v>74</v>
      </c>
      <c r="AG785">
        <v>27</v>
      </c>
      <c r="AH785">
        <v>1</v>
      </c>
      <c r="AI785">
        <v>9</v>
      </c>
      <c r="AJ785">
        <v>0</v>
      </c>
      <c r="AK785">
        <v>7</v>
      </c>
      <c r="AL785" t="s">
        <v>3086</v>
      </c>
      <c r="AM785" t="s">
        <v>3087</v>
      </c>
      <c r="AN785" t="s">
        <v>3088</v>
      </c>
      <c r="AO785" t="s">
        <v>10173</v>
      </c>
      <c r="AP785" t="s">
        <v>74</v>
      </c>
      <c r="AQ785" t="s">
        <v>74</v>
      </c>
      <c r="AR785" t="s">
        <v>10174</v>
      </c>
      <c r="AS785" t="s">
        <v>10175</v>
      </c>
      <c r="AT785" t="s">
        <v>9967</v>
      </c>
      <c r="AU785">
        <v>2008</v>
      </c>
      <c r="AV785">
        <v>51</v>
      </c>
      <c r="AW785">
        <v>2</v>
      </c>
      <c r="AX785" t="s">
        <v>74</v>
      </c>
      <c r="AY785" t="s">
        <v>74</v>
      </c>
      <c r="AZ785" t="s">
        <v>74</v>
      </c>
      <c r="BA785" t="s">
        <v>74</v>
      </c>
      <c r="BB785">
        <v>596</v>
      </c>
      <c r="BC785">
        <v>602</v>
      </c>
      <c r="BD785" t="s">
        <v>74</v>
      </c>
      <c r="BE785" t="s">
        <v>74</v>
      </c>
      <c r="BF785" t="s">
        <v>74</v>
      </c>
      <c r="BG785" t="s">
        <v>74</v>
      </c>
      <c r="BH785" t="s">
        <v>74</v>
      </c>
      <c r="BI785">
        <v>7</v>
      </c>
      <c r="BJ785" t="s">
        <v>98</v>
      </c>
      <c r="BK785" t="s">
        <v>419</v>
      </c>
      <c r="BL785" t="s">
        <v>98</v>
      </c>
      <c r="BM785" t="s">
        <v>10176</v>
      </c>
      <c r="BN785" t="s">
        <v>74</v>
      </c>
      <c r="BO785" t="s">
        <v>74</v>
      </c>
      <c r="BP785" t="s">
        <v>74</v>
      </c>
      <c r="BQ785" t="s">
        <v>74</v>
      </c>
      <c r="BR785" t="s">
        <v>101</v>
      </c>
      <c r="BS785" t="s">
        <v>10177</v>
      </c>
      <c r="BT785" t="str">
        <f>HYPERLINK("https%3A%2F%2Fwww.webofscience.com%2Fwos%2Fwoscc%2Ffull-record%2FWOS:000254422000033","View Full Record in Web of Science")</f>
        <v>View Full Record in Web of Science</v>
      </c>
    </row>
    <row r="786" spans="1:72" x14ac:dyDescent="0.15">
      <c r="A786" t="s">
        <v>72</v>
      </c>
      <c r="B786" t="s">
        <v>10178</v>
      </c>
      <c r="C786" t="s">
        <v>74</v>
      </c>
      <c r="D786" t="s">
        <v>74</v>
      </c>
      <c r="E786" t="s">
        <v>74</v>
      </c>
      <c r="F786" t="s">
        <v>10179</v>
      </c>
      <c r="G786" t="s">
        <v>74</v>
      </c>
      <c r="H786" t="s">
        <v>74</v>
      </c>
      <c r="I786" t="s">
        <v>10180</v>
      </c>
      <c r="J786" t="s">
        <v>4410</v>
      </c>
      <c r="K786" t="s">
        <v>74</v>
      </c>
      <c r="L786" t="s">
        <v>74</v>
      </c>
      <c r="M786" t="s">
        <v>78</v>
      </c>
      <c r="N786" t="s">
        <v>2737</v>
      </c>
      <c r="O786" t="s">
        <v>74</v>
      </c>
      <c r="P786" t="s">
        <v>74</v>
      </c>
      <c r="Q786" t="s">
        <v>74</v>
      </c>
      <c r="R786" t="s">
        <v>74</v>
      </c>
      <c r="S786" t="s">
        <v>74</v>
      </c>
      <c r="T786" t="s">
        <v>74</v>
      </c>
      <c r="U786" t="s">
        <v>10181</v>
      </c>
      <c r="V786" t="s">
        <v>10182</v>
      </c>
      <c r="W786" t="s">
        <v>10183</v>
      </c>
      <c r="X786" t="s">
        <v>10184</v>
      </c>
      <c r="Y786" t="s">
        <v>10185</v>
      </c>
      <c r="Z786" t="s">
        <v>10186</v>
      </c>
      <c r="AA786" t="s">
        <v>10187</v>
      </c>
      <c r="AB786" t="s">
        <v>10188</v>
      </c>
      <c r="AC786" t="s">
        <v>74</v>
      </c>
      <c r="AD786" t="s">
        <v>74</v>
      </c>
      <c r="AE786" t="s">
        <v>74</v>
      </c>
      <c r="AF786" t="s">
        <v>74</v>
      </c>
      <c r="AG786">
        <v>29</v>
      </c>
      <c r="AH786">
        <v>13</v>
      </c>
      <c r="AI786">
        <v>13</v>
      </c>
      <c r="AJ786">
        <v>1</v>
      </c>
      <c r="AK786">
        <v>9</v>
      </c>
      <c r="AL786" t="s">
        <v>2746</v>
      </c>
      <c r="AM786" t="s">
        <v>2747</v>
      </c>
      <c r="AN786" t="s">
        <v>2924</v>
      </c>
      <c r="AO786" t="s">
        <v>4419</v>
      </c>
      <c r="AP786" t="s">
        <v>4438</v>
      </c>
      <c r="AQ786" t="s">
        <v>74</v>
      </c>
      <c r="AR786" t="s">
        <v>4420</v>
      </c>
      <c r="AS786" t="s">
        <v>4421</v>
      </c>
      <c r="AT786" t="s">
        <v>9967</v>
      </c>
      <c r="AU786">
        <v>2008</v>
      </c>
      <c r="AV786">
        <v>30</v>
      </c>
      <c r="AW786">
        <v>4</v>
      </c>
      <c r="AX786" t="s">
        <v>74</v>
      </c>
      <c r="AY786" t="s">
        <v>74</v>
      </c>
      <c r="AZ786" t="s">
        <v>74</v>
      </c>
      <c r="BA786" t="s">
        <v>74</v>
      </c>
      <c r="BB786">
        <v>333</v>
      </c>
      <c r="BC786">
        <v>341</v>
      </c>
      <c r="BD786" t="s">
        <v>74</v>
      </c>
      <c r="BE786" t="s">
        <v>10189</v>
      </c>
      <c r="BF786" t="str">
        <f>HYPERLINK("http://dx.doi.org/10.1007/s00382-007-0291-4","http://dx.doi.org/10.1007/s00382-007-0291-4")</f>
        <v>http://dx.doi.org/10.1007/s00382-007-0291-4</v>
      </c>
      <c r="BG786" t="s">
        <v>74</v>
      </c>
      <c r="BH786" t="s">
        <v>74</v>
      </c>
      <c r="BI786">
        <v>9</v>
      </c>
      <c r="BJ786" t="s">
        <v>3071</v>
      </c>
      <c r="BK786" t="s">
        <v>419</v>
      </c>
      <c r="BL786" t="s">
        <v>3071</v>
      </c>
      <c r="BM786" t="s">
        <v>10190</v>
      </c>
      <c r="BN786" t="s">
        <v>74</v>
      </c>
      <c r="BO786" t="s">
        <v>74</v>
      </c>
      <c r="BP786" t="s">
        <v>74</v>
      </c>
      <c r="BQ786" t="s">
        <v>74</v>
      </c>
      <c r="BR786" t="s">
        <v>101</v>
      </c>
      <c r="BS786" t="s">
        <v>10191</v>
      </c>
      <c r="BT786" t="str">
        <f>HYPERLINK("https%3A%2F%2Fwww.webofscience.com%2Fwos%2Fwoscc%2Ffull-record%2FWOS:000252418300001","View Full Record in Web of Science")</f>
        <v>View Full Record in Web of Science</v>
      </c>
    </row>
    <row r="787" spans="1:72" x14ac:dyDescent="0.15">
      <c r="A787" t="s">
        <v>72</v>
      </c>
      <c r="B787" t="s">
        <v>10192</v>
      </c>
      <c r="C787" t="s">
        <v>74</v>
      </c>
      <c r="D787" t="s">
        <v>74</v>
      </c>
      <c r="E787" t="s">
        <v>74</v>
      </c>
      <c r="F787" t="s">
        <v>10193</v>
      </c>
      <c r="G787" t="s">
        <v>74</v>
      </c>
      <c r="H787" t="s">
        <v>74</v>
      </c>
      <c r="I787" t="s">
        <v>10194</v>
      </c>
      <c r="J787" t="s">
        <v>4532</v>
      </c>
      <c r="K787" t="s">
        <v>74</v>
      </c>
      <c r="L787" t="s">
        <v>74</v>
      </c>
      <c r="M787" t="s">
        <v>78</v>
      </c>
      <c r="N787" t="s">
        <v>2737</v>
      </c>
      <c r="O787" t="s">
        <v>74</v>
      </c>
      <c r="P787" t="s">
        <v>74</v>
      </c>
      <c r="Q787" t="s">
        <v>74</v>
      </c>
      <c r="R787" t="s">
        <v>74</v>
      </c>
      <c r="S787" t="s">
        <v>74</v>
      </c>
      <c r="T787" t="s">
        <v>10195</v>
      </c>
      <c r="U787" t="s">
        <v>10196</v>
      </c>
      <c r="V787" t="s">
        <v>10197</v>
      </c>
      <c r="W787" t="s">
        <v>10198</v>
      </c>
      <c r="X787" t="s">
        <v>10199</v>
      </c>
      <c r="Y787" t="s">
        <v>10200</v>
      </c>
      <c r="Z787" t="s">
        <v>10201</v>
      </c>
      <c r="AA787" t="s">
        <v>10202</v>
      </c>
      <c r="AB787" t="s">
        <v>10203</v>
      </c>
      <c r="AC787" t="s">
        <v>74</v>
      </c>
      <c r="AD787" t="s">
        <v>74</v>
      </c>
      <c r="AE787" t="s">
        <v>74</v>
      </c>
      <c r="AF787" t="s">
        <v>74</v>
      </c>
      <c r="AG787">
        <v>95</v>
      </c>
      <c r="AH787">
        <v>41</v>
      </c>
      <c r="AI787">
        <v>46</v>
      </c>
      <c r="AJ787">
        <v>0</v>
      </c>
      <c r="AK787">
        <v>10</v>
      </c>
      <c r="AL787" t="s">
        <v>3007</v>
      </c>
      <c r="AM787" t="s">
        <v>3008</v>
      </c>
      <c r="AN787" t="s">
        <v>3009</v>
      </c>
      <c r="AO787" t="s">
        <v>4540</v>
      </c>
      <c r="AP787" t="s">
        <v>8415</v>
      </c>
      <c r="AQ787" t="s">
        <v>74</v>
      </c>
      <c r="AR787" t="s">
        <v>4541</v>
      </c>
      <c r="AS787" t="s">
        <v>4542</v>
      </c>
      <c r="AT787" t="s">
        <v>9967</v>
      </c>
      <c r="AU787">
        <v>2008</v>
      </c>
      <c r="AV787">
        <v>55</v>
      </c>
      <c r="AW787">
        <v>3</v>
      </c>
      <c r="AX787" t="s">
        <v>74</v>
      </c>
      <c r="AY787" t="s">
        <v>74</v>
      </c>
      <c r="AZ787" t="s">
        <v>74</v>
      </c>
      <c r="BA787" t="s">
        <v>74</v>
      </c>
      <c r="BB787">
        <v>350</v>
      </c>
      <c r="BC787">
        <v>368</v>
      </c>
      <c r="BD787" t="s">
        <v>74</v>
      </c>
      <c r="BE787" t="s">
        <v>10204</v>
      </c>
      <c r="BF787" t="str">
        <f>HYPERLINK("http://dx.doi.org/10.1016/j.dsr.2007.12.002","http://dx.doi.org/10.1016/j.dsr.2007.12.002")</f>
        <v>http://dx.doi.org/10.1016/j.dsr.2007.12.002</v>
      </c>
      <c r="BG787" t="s">
        <v>74</v>
      </c>
      <c r="BH787" t="s">
        <v>74</v>
      </c>
      <c r="BI787">
        <v>19</v>
      </c>
      <c r="BJ787" t="s">
        <v>3447</v>
      </c>
      <c r="BK787" t="s">
        <v>419</v>
      </c>
      <c r="BL787" t="s">
        <v>3447</v>
      </c>
      <c r="BM787" t="s">
        <v>10205</v>
      </c>
      <c r="BN787" t="s">
        <v>74</v>
      </c>
      <c r="BO787" t="s">
        <v>74</v>
      </c>
      <c r="BP787" t="s">
        <v>74</v>
      </c>
      <c r="BQ787" t="s">
        <v>74</v>
      </c>
      <c r="BR787" t="s">
        <v>101</v>
      </c>
      <c r="BS787" t="s">
        <v>10206</v>
      </c>
      <c r="BT787" t="str">
        <f>HYPERLINK("https%3A%2F%2Fwww.webofscience.com%2Fwos%2Fwoscc%2Ffull-record%2FWOS:000254694200008","View Full Record in Web of Science")</f>
        <v>View Full Record in Web of Science</v>
      </c>
    </row>
    <row r="788" spans="1:72" x14ac:dyDescent="0.15">
      <c r="A788" t="s">
        <v>72</v>
      </c>
      <c r="B788" t="s">
        <v>10207</v>
      </c>
      <c r="C788" t="s">
        <v>74</v>
      </c>
      <c r="D788" t="s">
        <v>74</v>
      </c>
      <c r="E788" t="s">
        <v>74</v>
      </c>
      <c r="F788" t="s">
        <v>10208</v>
      </c>
      <c r="G788" t="s">
        <v>74</v>
      </c>
      <c r="H788" t="s">
        <v>74</v>
      </c>
      <c r="I788" t="s">
        <v>10209</v>
      </c>
      <c r="J788" t="s">
        <v>10210</v>
      </c>
      <c r="K788" t="s">
        <v>74</v>
      </c>
      <c r="L788" t="s">
        <v>74</v>
      </c>
      <c r="M788" t="s">
        <v>78</v>
      </c>
      <c r="N788" t="s">
        <v>2737</v>
      </c>
      <c r="O788" t="s">
        <v>74</v>
      </c>
      <c r="P788" t="s">
        <v>74</v>
      </c>
      <c r="Q788" t="s">
        <v>74</v>
      </c>
      <c r="R788" t="s">
        <v>74</v>
      </c>
      <c r="S788" t="s">
        <v>74</v>
      </c>
      <c r="T788" t="s">
        <v>10211</v>
      </c>
      <c r="U788" t="s">
        <v>10212</v>
      </c>
      <c r="V788" t="s">
        <v>10213</v>
      </c>
      <c r="W788" t="s">
        <v>10214</v>
      </c>
      <c r="X788" t="s">
        <v>10215</v>
      </c>
      <c r="Y788" t="s">
        <v>10216</v>
      </c>
      <c r="Z788" t="s">
        <v>10217</v>
      </c>
      <c r="AA788" t="s">
        <v>10218</v>
      </c>
      <c r="AB788" t="s">
        <v>10219</v>
      </c>
      <c r="AC788" t="s">
        <v>74</v>
      </c>
      <c r="AD788" t="s">
        <v>74</v>
      </c>
      <c r="AE788" t="s">
        <v>74</v>
      </c>
      <c r="AF788" t="s">
        <v>74</v>
      </c>
      <c r="AG788">
        <v>63</v>
      </c>
      <c r="AH788">
        <v>95</v>
      </c>
      <c r="AI788">
        <v>110</v>
      </c>
      <c r="AJ788">
        <v>1</v>
      </c>
      <c r="AK788">
        <v>29</v>
      </c>
      <c r="AL788" t="s">
        <v>88</v>
      </c>
      <c r="AM788" t="s">
        <v>89</v>
      </c>
      <c r="AN788" t="s">
        <v>90</v>
      </c>
      <c r="AO788" t="s">
        <v>10220</v>
      </c>
      <c r="AP788" t="s">
        <v>10221</v>
      </c>
      <c r="AQ788" t="s">
        <v>74</v>
      </c>
      <c r="AR788" t="s">
        <v>10222</v>
      </c>
      <c r="AS788" t="s">
        <v>10223</v>
      </c>
      <c r="AT788" t="s">
        <v>9967</v>
      </c>
      <c r="AU788">
        <v>2008</v>
      </c>
      <c r="AV788">
        <v>14</v>
      </c>
      <c r="AW788">
        <v>2</v>
      </c>
      <c r="AX788" t="s">
        <v>74</v>
      </c>
      <c r="AY788" t="s">
        <v>74</v>
      </c>
      <c r="AZ788" t="s">
        <v>74</v>
      </c>
      <c r="BA788" t="s">
        <v>74</v>
      </c>
      <c r="BB788">
        <v>343</v>
      </c>
      <c r="BC788">
        <v>354</v>
      </c>
      <c r="BD788" t="s">
        <v>74</v>
      </c>
      <c r="BE788" t="s">
        <v>10224</v>
      </c>
      <c r="BF788" t="str">
        <f>HYPERLINK("http://dx.doi.org/10.1111/j.1472-4642.2007.00420.x","http://dx.doi.org/10.1111/j.1472-4642.2007.00420.x")</f>
        <v>http://dx.doi.org/10.1111/j.1472-4642.2007.00420.x</v>
      </c>
      <c r="BG788" t="s">
        <v>74</v>
      </c>
      <c r="BH788" t="s">
        <v>74</v>
      </c>
      <c r="BI788">
        <v>12</v>
      </c>
      <c r="BJ788" t="s">
        <v>2895</v>
      </c>
      <c r="BK788" t="s">
        <v>419</v>
      </c>
      <c r="BL788" t="s">
        <v>2896</v>
      </c>
      <c r="BM788" t="s">
        <v>10225</v>
      </c>
      <c r="BN788" t="s">
        <v>74</v>
      </c>
      <c r="BO788" t="s">
        <v>4667</v>
      </c>
      <c r="BP788" t="s">
        <v>74</v>
      </c>
      <c r="BQ788" t="s">
        <v>74</v>
      </c>
      <c r="BR788" t="s">
        <v>101</v>
      </c>
      <c r="BS788" t="s">
        <v>10226</v>
      </c>
      <c r="BT788" t="str">
        <f>HYPERLINK("https%3A%2F%2Fwww.webofscience.com%2Fwos%2Fwoscc%2Ffull-record%2FWOS:000252966500020","View Full Record in Web of Science")</f>
        <v>View Full Record in Web of Science</v>
      </c>
    </row>
    <row r="789" spans="1:72" x14ac:dyDescent="0.15">
      <c r="A789" t="s">
        <v>72</v>
      </c>
      <c r="B789" t="s">
        <v>10227</v>
      </c>
      <c r="C789" t="s">
        <v>74</v>
      </c>
      <c r="D789" t="s">
        <v>74</v>
      </c>
      <c r="E789" t="s">
        <v>74</v>
      </c>
      <c r="F789" t="s">
        <v>10228</v>
      </c>
      <c r="G789" t="s">
        <v>74</v>
      </c>
      <c r="H789" t="s">
        <v>74</v>
      </c>
      <c r="I789" t="s">
        <v>10229</v>
      </c>
      <c r="J789" t="s">
        <v>10230</v>
      </c>
      <c r="K789" t="s">
        <v>74</v>
      </c>
      <c r="L789" t="s">
        <v>74</v>
      </c>
      <c r="M789" t="s">
        <v>78</v>
      </c>
      <c r="N789" t="s">
        <v>2958</v>
      </c>
      <c r="O789" t="s">
        <v>74</v>
      </c>
      <c r="P789" t="s">
        <v>74</v>
      </c>
      <c r="Q789" t="s">
        <v>74</v>
      </c>
      <c r="R789" t="s">
        <v>74</v>
      </c>
      <c r="S789" t="s">
        <v>74</v>
      </c>
      <c r="T789" t="s">
        <v>10231</v>
      </c>
      <c r="U789" t="s">
        <v>10232</v>
      </c>
      <c r="V789" t="s">
        <v>10233</v>
      </c>
      <c r="W789" t="s">
        <v>10234</v>
      </c>
      <c r="X789" t="s">
        <v>10235</v>
      </c>
      <c r="Y789" t="s">
        <v>10236</v>
      </c>
      <c r="Z789" t="s">
        <v>10237</v>
      </c>
      <c r="AA789" t="s">
        <v>5696</v>
      </c>
      <c r="AB789" t="s">
        <v>74</v>
      </c>
      <c r="AC789" t="s">
        <v>74</v>
      </c>
      <c r="AD789" t="s">
        <v>74</v>
      </c>
      <c r="AE789" t="s">
        <v>74</v>
      </c>
      <c r="AF789" t="s">
        <v>74</v>
      </c>
      <c r="AG789">
        <v>69</v>
      </c>
      <c r="AH789">
        <v>24</v>
      </c>
      <c r="AI789">
        <v>28</v>
      </c>
      <c r="AJ789">
        <v>1</v>
      </c>
      <c r="AK789">
        <v>26</v>
      </c>
      <c r="AL789" t="s">
        <v>3933</v>
      </c>
      <c r="AM789" t="s">
        <v>3258</v>
      </c>
      <c r="AN789" t="s">
        <v>3934</v>
      </c>
      <c r="AO789" t="s">
        <v>10238</v>
      </c>
      <c r="AP789" t="s">
        <v>10239</v>
      </c>
      <c r="AQ789" t="s">
        <v>74</v>
      </c>
      <c r="AR789" t="s">
        <v>10240</v>
      </c>
      <c r="AS789" t="s">
        <v>10241</v>
      </c>
      <c r="AT789" t="s">
        <v>9967</v>
      </c>
      <c r="AU789">
        <v>2008</v>
      </c>
      <c r="AV789">
        <v>44</v>
      </c>
      <c r="AW789" t="s">
        <v>3263</v>
      </c>
      <c r="AX789" t="s">
        <v>74</v>
      </c>
      <c r="AY789" t="s">
        <v>74</v>
      </c>
      <c r="AZ789" t="s">
        <v>74</v>
      </c>
      <c r="BA789" t="s">
        <v>74</v>
      </c>
      <c r="BB789">
        <v>213</v>
      </c>
      <c r="BC789">
        <v>243</v>
      </c>
      <c r="BD789" t="s">
        <v>74</v>
      </c>
      <c r="BE789" t="s">
        <v>10242</v>
      </c>
      <c r="BF789" t="str">
        <f>HYPERLINK("http://dx.doi.org/10.1016/j.dynatmoce.2007.09.001","http://dx.doi.org/10.1016/j.dynatmoce.2007.09.001")</f>
        <v>http://dx.doi.org/10.1016/j.dynatmoce.2007.09.001</v>
      </c>
      <c r="BG789" t="s">
        <v>74</v>
      </c>
      <c r="BH789" t="s">
        <v>74</v>
      </c>
      <c r="BI789">
        <v>31</v>
      </c>
      <c r="BJ789" t="s">
        <v>10243</v>
      </c>
      <c r="BK789" t="s">
        <v>419</v>
      </c>
      <c r="BL789" t="s">
        <v>10243</v>
      </c>
      <c r="BM789" t="s">
        <v>10244</v>
      </c>
      <c r="BN789" t="s">
        <v>74</v>
      </c>
      <c r="BO789" t="s">
        <v>74</v>
      </c>
      <c r="BP789" t="s">
        <v>74</v>
      </c>
      <c r="BQ789" t="s">
        <v>74</v>
      </c>
      <c r="BR789" t="s">
        <v>101</v>
      </c>
      <c r="BS789" t="s">
        <v>10245</v>
      </c>
      <c r="BT789" t="str">
        <f>HYPERLINK("https%3A%2F%2Fwww.webofscience.com%2Fwos%2Fwoscc%2Ffull-record%2FWOS:000255843000006","View Full Record in Web of Science")</f>
        <v>View Full Record in Web of Science</v>
      </c>
    </row>
    <row r="790" spans="1:72" x14ac:dyDescent="0.15">
      <c r="A790" t="s">
        <v>72</v>
      </c>
      <c r="B790" t="s">
        <v>10246</v>
      </c>
      <c r="C790" t="s">
        <v>74</v>
      </c>
      <c r="D790" t="s">
        <v>74</v>
      </c>
      <c r="E790" t="s">
        <v>74</v>
      </c>
      <c r="F790" t="s">
        <v>10247</v>
      </c>
      <c r="G790" t="s">
        <v>74</v>
      </c>
      <c r="H790" t="s">
        <v>74</v>
      </c>
      <c r="I790" t="s">
        <v>10248</v>
      </c>
      <c r="J790" t="s">
        <v>3248</v>
      </c>
      <c r="K790" t="s">
        <v>74</v>
      </c>
      <c r="L790" t="s">
        <v>74</v>
      </c>
      <c r="M790" t="s">
        <v>78</v>
      </c>
      <c r="N790" t="s">
        <v>2737</v>
      </c>
      <c r="O790" t="s">
        <v>74</v>
      </c>
      <c r="P790" t="s">
        <v>74</v>
      </c>
      <c r="Q790" t="s">
        <v>74</v>
      </c>
      <c r="R790" t="s">
        <v>74</v>
      </c>
      <c r="S790" t="s">
        <v>74</v>
      </c>
      <c r="T790" t="s">
        <v>10249</v>
      </c>
      <c r="U790" t="s">
        <v>10250</v>
      </c>
      <c r="V790" t="s">
        <v>10251</v>
      </c>
      <c r="W790" t="s">
        <v>10252</v>
      </c>
      <c r="X790" t="s">
        <v>10253</v>
      </c>
      <c r="Y790" t="s">
        <v>10254</v>
      </c>
      <c r="Z790" t="s">
        <v>10255</v>
      </c>
      <c r="AA790" t="s">
        <v>10256</v>
      </c>
      <c r="AB790" t="s">
        <v>10257</v>
      </c>
      <c r="AC790" t="s">
        <v>10258</v>
      </c>
      <c r="AD790" t="s">
        <v>3604</v>
      </c>
      <c r="AE790" t="s">
        <v>74</v>
      </c>
      <c r="AF790" t="s">
        <v>74</v>
      </c>
      <c r="AG790">
        <v>78</v>
      </c>
      <c r="AH790">
        <v>18</v>
      </c>
      <c r="AI790">
        <v>20</v>
      </c>
      <c r="AJ790">
        <v>0</v>
      </c>
      <c r="AK790">
        <v>24</v>
      </c>
      <c r="AL790" t="s">
        <v>3933</v>
      </c>
      <c r="AM790" t="s">
        <v>3258</v>
      </c>
      <c r="AN790" t="s">
        <v>3934</v>
      </c>
      <c r="AO790" t="s">
        <v>3260</v>
      </c>
      <c r="AP790" t="s">
        <v>5435</v>
      </c>
      <c r="AQ790" t="s">
        <v>74</v>
      </c>
      <c r="AR790" t="s">
        <v>3261</v>
      </c>
      <c r="AS790" t="s">
        <v>3262</v>
      </c>
      <c r="AT790" t="s">
        <v>9987</v>
      </c>
      <c r="AU790">
        <v>2008</v>
      </c>
      <c r="AV790">
        <v>267</v>
      </c>
      <c r="AW790" t="s">
        <v>5676</v>
      </c>
      <c r="AX790" t="s">
        <v>74</v>
      </c>
      <c r="AY790" t="s">
        <v>74</v>
      </c>
      <c r="AZ790" t="s">
        <v>74</v>
      </c>
      <c r="BA790" t="s">
        <v>74</v>
      </c>
      <c r="BB790">
        <v>309</v>
      </c>
      <c r="BC790">
        <v>321</v>
      </c>
      <c r="BD790" t="s">
        <v>74</v>
      </c>
      <c r="BE790" t="s">
        <v>10259</v>
      </c>
      <c r="BF790" t="str">
        <f>HYPERLINK("http://dx.doi.org/10.1016/j.epsl.2007.11.050","http://dx.doi.org/10.1016/j.epsl.2007.11.050")</f>
        <v>http://dx.doi.org/10.1016/j.epsl.2007.11.050</v>
      </c>
      <c r="BG790" t="s">
        <v>74</v>
      </c>
      <c r="BH790" t="s">
        <v>74</v>
      </c>
      <c r="BI790">
        <v>13</v>
      </c>
      <c r="BJ790" t="s">
        <v>98</v>
      </c>
      <c r="BK790" t="s">
        <v>419</v>
      </c>
      <c r="BL790" t="s">
        <v>98</v>
      </c>
      <c r="BM790" t="s">
        <v>10260</v>
      </c>
      <c r="BN790" t="s">
        <v>74</v>
      </c>
      <c r="BO790" t="s">
        <v>74</v>
      </c>
      <c r="BP790" t="s">
        <v>74</v>
      </c>
      <c r="BQ790" t="s">
        <v>74</v>
      </c>
      <c r="BR790" t="s">
        <v>101</v>
      </c>
      <c r="BS790" t="s">
        <v>10261</v>
      </c>
      <c r="BT790" t="str">
        <f>HYPERLINK("https%3A%2F%2Fwww.webofscience.com%2Fwos%2Fwoscc%2Ffull-record%2FWOS:000254684000027","View Full Record in Web of Science")</f>
        <v>View Full Record in Web of Science</v>
      </c>
    </row>
    <row r="791" spans="1:72" x14ac:dyDescent="0.15">
      <c r="A791" t="s">
        <v>72</v>
      </c>
      <c r="B791" t="s">
        <v>10262</v>
      </c>
      <c r="C791" t="s">
        <v>74</v>
      </c>
      <c r="D791" t="s">
        <v>74</v>
      </c>
      <c r="E791" t="s">
        <v>74</v>
      </c>
      <c r="F791" t="s">
        <v>10263</v>
      </c>
      <c r="G791" t="s">
        <v>74</v>
      </c>
      <c r="H791" t="s">
        <v>74</v>
      </c>
      <c r="I791" t="s">
        <v>10264</v>
      </c>
      <c r="J791" t="s">
        <v>8422</v>
      </c>
      <c r="K791" t="s">
        <v>74</v>
      </c>
      <c r="L791" t="s">
        <v>74</v>
      </c>
      <c r="M791" t="s">
        <v>78</v>
      </c>
      <c r="N791" t="s">
        <v>2737</v>
      </c>
      <c r="O791" t="s">
        <v>74</v>
      </c>
      <c r="P791" t="s">
        <v>74</v>
      </c>
      <c r="Q791" t="s">
        <v>74</v>
      </c>
      <c r="R791" t="s">
        <v>74</v>
      </c>
      <c r="S791" t="s">
        <v>74</v>
      </c>
      <c r="T791" t="s">
        <v>10265</v>
      </c>
      <c r="U791" t="s">
        <v>10266</v>
      </c>
      <c r="V791" t="s">
        <v>10267</v>
      </c>
      <c r="W791" t="s">
        <v>10268</v>
      </c>
      <c r="X791" t="s">
        <v>10269</v>
      </c>
      <c r="Y791" t="s">
        <v>10270</v>
      </c>
      <c r="Z791" t="s">
        <v>10271</v>
      </c>
      <c r="AA791" t="s">
        <v>74</v>
      </c>
      <c r="AB791" t="s">
        <v>74</v>
      </c>
      <c r="AC791" t="s">
        <v>74</v>
      </c>
      <c r="AD791" t="s">
        <v>74</v>
      </c>
      <c r="AE791" t="s">
        <v>74</v>
      </c>
      <c r="AF791" t="s">
        <v>74</v>
      </c>
      <c r="AG791">
        <v>49</v>
      </c>
      <c r="AH791">
        <v>40</v>
      </c>
      <c r="AI791">
        <v>41</v>
      </c>
      <c r="AJ791">
        <v>2</v>
      </c>
      <c r="AK791">
        <v>23</v>
      </c>
      <c r="AL791" t="s">
        <v>88</v>
      </c>
      <c r="AM791" t="s">
        <v>89</v>
      </c>
      <c r="AN791" t="s">
        <v>90</v>
      </c>
      <c r="AO791" t="s">
        <v>8431</v>
      </c>
      <c r="AP791" t="s">
        <v>8432</v>
      </c>
      <c r="AQ791" t="s">
        <v>74</v>
      </c>
      <c r="AR791" t="s">
        <v>8433</v>
      </c>
      <c r="AS791" t="s">
        <v>8434</v>
      </c>
      <c r="AT791" t="s">
        <v>9967</v>
      </c>
      <c r="AU791">
        <v>2008</v>
      </c>
      <c r="AV791">
        <v>33</v>
      </c>
      <c r="AW791">
        <v>3</v>
      </c>
      <c r="AX791" t="s">
        <v>74</v>
      </c>
      <c r="AY791" t="s">
        <v>74</v>
      </c>
      <c r="AZ791" t="s">
        <v>74</v>
      </c>
      <c r="BA791" t="s">
        <v>74</v>
      </c>
      <c r="BB791">
        <v>475</v>
      </c>
      <c r="BC791">
        <v>493</v>
      </c>
      <c r="BD791" t="s">
        <v>74</v>
      </c>
      <c r="BE791" t="s">
        <v>10272</v>
      </c>
      <c r="BF791" t="str">
        <f>HYPERLINK("http://dx.doi.org/10.1002/esp.1617","http://dx.doi.org/10.1002/esp.1617")</f>
        <v>http://dx.doi.org/10.1002/esp.1617</v>
      </c>
      <c r="BG791" t="s">
        <v>74</v>
      </c>
      <c r="BH791" t="s">
        <v>74</v>
      </c>
      <c r="BI791">
        <v>19</v>
      </c>
      <c r="BJ791" t="s">
        <v>3015</v>
      </c>
      <c r="BK791" t="s">
        <v>419</v>
      </c>
      <c r="BL791" t="s">
        <v>3016</v>
      </c>
      <c r="BM791" t="s">
        <v>10273</v>
      </c>
      <c r="BN791" t="s">
        <v>74</v>
      </c>
      <c r="BO791" t="s">
        <v>74</v>
      </c>
      <c r="BP791" t="s">
        <v>74</v>
      </c>
      <c r="BQ791" t="s">
        <v>74</v>
      </c>
      <c r="BR791" t="s">
        <v>101</v>
      </c>
      <c r="BS791" t="s">
        <v>10274</v>
      </c>
      <c r="BT791" t="str">
        <f>HYPERLINK("https%3A%2F%2Fwww.webofscience.com%2Fwos%2Fwoscc%2Ffull-record%2FWOS:000254594100010","View Full Record in Web of Science")</f>
        <v>View Full Record in Web of Science</v>
      </c>
    </row>
    <row r="792" spans="1:72" x14ac:dyDescent="0.15">
      <c r="A792" t="s">
        <v>72</v>
      </c>
      <c r="B792" t="s">
        <v>10275</v>
      </c>
      <c r="C792" t="s">
        <v>74</v>
      </c>
      <c r="D792" t="s">
        <v>74</v>
      </c>
      <c r="E792" t="s">
        <v>74</v>
      </c>
      <c r="F792" t="s">
        <v>10276</v>
      </c>
      <c r="G792" t="s">
        <v>74</v>
      </c>
      <c r="H792" t="s">
        <v>74</v>
      </c>
      <c r="I792" t="s">
        <v>10277</v>
      </c>
      <c r="J792" t="s">
        <v>10278</v>
      </c>
      <c r="K792" t="s">
        <v>74</v>
      </c>
      <c r="L792" t="s">
        <v>74</v>
      </c>
      <c r="M792" t="s">
        <v>78</v>
      </c>
      <c r="N792" t="s">
        <v>2737</v>
      </c>
      <c r="O792" t="s">
        <v>74</v>
      </c>
      <c r="P792" t="s">
        <v>74</v>
      </c>
      <c r="Q792" t="s">
        <v>74</v>
      </c>
      <c r="R792" t="s">
        <v>74</v>
      </c>
      <c r="S792" t="s">
        <v>74</v>
      </c>
      <c r="T792" t="s">
        <v>10279</v>
      </c>
      <c r="U792" t="s">
        <v>10280</v>
      </c>
      <c r="V792" t="s">
        <v>10281</v>
      </c>
      <c r="W792" t="s">
        <v>10282</v>
      </c>
      <c r="X792" t="s">
        <v>10283</v>
      </c>
      <c r="Y792" t="s">
        <v>10284</v>
      </c>
      <c r="Z792" t="s">
        <v>10285</v>
      </c>
      <c r="AA792" t="s">
        <v>10286</v>
      </c>
      <c r="AB792" t="s">
        <v>10287</v>
      </c>
      <c r="AC792" t="s">
        <v>74</v>
      </c>
      <c r="AD792" t="s">
        <v>74</v>
      </c>
      <c r="AE792" t="s">
        <v>74</v>
      </c>
      <c r="AF792" t="s">
        <v>74</v>
      </c>
      <c r="AG792">
        <v>86</v>
      </c>
      <c r="AH792">
        <v>123</v>
      </c>
      <c r="AI792">
        <v>131</v>
      </c>
      <c r="AJ792">
        <v>0</v>
      </c>
      <c r="AK792">
        <v>34</v>
      </c>
      <c r="AL792" t="s">
        <v>88</v>
      </c>
      <c r="AM792" t="s">
        <v>89</v>
      </c>
      <c r="AN792" t="s">
        <v>90</v>
      </c>
      <c r="AO792" t="s">
        <v>10288</v>
      </c>
      <c r="AP792" t="s">
        <v>10289</v>
      </c>
      <c r="AQ792" t="s">
        <v>74</v>
      </c>
      <c r="AR792" t="s">
        <v>10278</v>
      </c>
      <c r="AS792" t="s">
        <v>8600</v>
      </c>
      <c r="AT792" t="s">
        <v>9967</v>
      </c>
      <c r="AU792">
        <v>2008</v>
      </c>
      <c r="AV792">
        <v>89</v>
      </c>
      <c r="AW792">
        <v>3</v>
      </c>
      <c r="AX792" t="s">
        <v>74</v>
      </c>
      <c r="AY792" t="s">
        <v>74</v>
      </c>
      <c r="AZ792" t="s">
        <v>74</v>
      </c>
      <c r="BA792" t="s">
        <v>74</v>
      </c>
      <c r="BB792">
        <v>682</v>
      </c>
      <c r="BC792">
        <v>692</v>
      </c>
      <c r="BD792" t="s">
        <v>74</v>
      </c>
      <c r="BE792" t="s">
        <v>10290</v>
      </c>
      <c r="BF792" t="str">
        <f>HYPERLINK("http://dx.doi.org/10.1890/07-0498.1","http://dx.doi.org/10.1890/07-0498.1")</f>
        <v>http://dx.doi.org/10.1890/07-0498.1</v>
      </c>
      <c r="BG792" t="s">
        <v>74</v>
      </c>
      <c r="BH792" t="s">
        <v>74</v>
      </c>
      <c r="BI792">
        <v>11</v>
      </c>
      <c r="BJ792" t="s">
        <v>8600</v>
      </c>
      <c r="BK792" t="s">
        <v>419</v>
      </c>
      <c r="BL792" t="s">
        <v>2972</v>
      </c>
      <c r="BM792" t="s">
        <v>10291</v>
      </c>
      <c r="BN792">
        <v>18459332</v>
      </c>
      <c r="BO792" t="s">
        <v>3033</v>
      </c>
      <c r="BP792" t="s">
        <v>74</v>
      </c>
      <c r="BQ792" t="s">
        <v>74</v>
      </c>
      <c r="BR792" t="s">
        <v>101</v>
      </c>
      <c r="BS792" t="s">
        <v>10292</v>
      </c>
      <c r="BT792" t="str">
        <f>HYPERLINK("https%3A%2F%2Fwww.webofscience.com%2Fwos%2Fwoscc%2Ffull-record%2FWOS:000254678200010","View Full Record in Web of Science")</f>
        <v>View Full Record in Web of Science</v>
      </c>
    </row>
    <row r="793" spans="1:72" x14ac:dyDescent="0.15">
      <c r="A793" t="s">
        <v>72</v>
      </c>
      <c r="B793" t="s">
        <v>10293</v>
      </c>
      <c r="C793" t="s">
        <v>74</v>
      </c>
      <c r="D793" t="s">
        <v>74</v>
      </c>
      <c r="E793" t="s">
        <v>74</v>
      </c>
      <c r="F793" t="s">
        <v>10294</v>
      </c>
      <c r="G793" t="s">
        <v>74</v>
      </c>
      <c r="H793" t="s">
        <v>74</v>
      </c>
      <c r="I793" t="s">
        <v>10295</v>
      </c>
      <c r="J793" t="s">
        <v>10296</v>
      </c>
      <c r="K793" t="s">
        <v>74</v>
      </c>
      <c r="L793" t="s">
        <v>74</v>
      </c>
      <c r="M793" t="s">
        <v>78</v>
      </c>
      <c r="N793" t="s">
        <v>2737</v>
      </c>
      <c r="O793" t="s">
        <v>74</v>
      </c>
      <c r="P793" t="s">
        <v>74</v>
      </c>
      <c r="Q793" t="s">
        <v>74</v>
      </c>
      <c r="R793" t="s">
        <v>74</v>
      </c>
      <c r="S793" t="s">
        <v>74</v>
      </c>
      <c r="T793" t="s">
        <v>10297</v>
      </c>
      <c r="U793" t="s">
        <v>10298</v>
      </c>
      <c r="V793" t="s">
        <v>10299</v>
      </c>
      <c r="W793" t="s">
        <v>10300</v>
      </c>
      <c r="X793" t="s">
        <v>10301</v>
      </c>
      <c r="Y793" t="s">
        <v>10302</v>
      </c>
      <c r="Z793" t="s">
        <v>10303</v>
      </c>
      <c r="AA793" t="s">
        <v>74</v>
      </c>
      <c r="AB793" t="s">
        <v>10304</v>
      </c>
      <c r="AC793" t="s">
        <v>74</v>
      </c>
      <c r="AD793" t="s">
        <v>74</v>
      </c>
      <c r="AE793" t="s">
        <v>74</v>
      </c>
      <c r="AF793" t="s">
        <v>74</v>
      </c>
      <c r="AG793">
        <v>39</v>
      </c>
      <c r="AH793">
        <v>38</v>
      </c>
      <c r="AI793">
        <v>41</v>
      </c>
      <c r="AJ793">
        <v>1</v>
      </c>
      <c r="AK793">
        <v>22</v>
      </c>
      <c r="AL793" t="s">
        <v>2746</v>
      </c>
      <c r="AM793" t="s">
        <v>2793</v>
      </c>
      <c r="AN793" t="s">
        <v>2794</v>
      </c>
      <c r="AO793" t="s">
        <v>10305</v>
      </c>
      <c r="AP793" t="s">
        <v>74</v>
      </c>
      <c r="AQ793" t="s">
        <v>74</v>
      </c>
      <c r="AR793" t="s">
        <v>10306</v>
      </c>
      <c r="AS793" t="s">
        <v>10307</v>
      </c>
      <c r="AT793" t="s">
        <v>9967</v>
      </c>
      <c r="AU793">
        <v>2008</v>
      </c>
      <c r="AV793">
        <v>138</v>
      </c>
      <c r="AW793" t="s">
        <v>8539</v>
      </c>
      <c r="AX793" t="s">
        <v>74</v>
      </c>
      <c r="AY793" t="s">
        <v>74</v>
      </c>
      <c r="AZ793" t="s">
        <v>74</v>
      </c>
      <c r="BA793" t="s">
        <v>74</v>
      </c>
      <c r="BB793">
        <v>119</v>
      </c>
      <c r="BC793">
        <v>130</v>
      </c>
      <c r="BD793" t="s">
        <v>74</v>
      </c>
      <c r="BE793" t="s">
        <v>10308</v>
      </c>
      <c r="BF793" t="str">
        <f>HYPERLINK("http://dx.doi.org/10.1007/s10661-007-9748-5","http://dx.doi.org/10.1007/s10661-007-9748-5")</f>
        <v>http://dx.doi.org/10.1007/s10661-007-9748-5</v>
      </c>
      <c r="BG793" t="s">
        <v>74</v>
      </c>
      <c r="BH793" t="s">
        <v>74</v>
      </c>
      <c r="BI793">
        <v>12</v>
      </c>
      <c r="BJ793" t="s">
        <v>10309</v>
      </c>
      <c r="BK793" t="s">
        <v>419</v>
      </c>
      <c r="BL793" t="s">
        <v>2972</v>
      </c>
      <c r="BM793" t="s">
        <v>10310</v>
      </c>
      <c r="BN793">
        <v>17520336</v>
      </c>
      <c r="BO793" t="s">
        <v>74</v>
      </c>
      <c r="BP793" t="s">
        <v>74</v>
      </c>
      <c r="BQ793" t="s">
        <v>74</v>
      </c>
      <c r="BR793" t="s">
        <v>101</v>
      </c>
      <c r="BS793" t="s">
        <v>10311</v>
      </c>
      <c r="BT793" t="str">
        <f>HYPERLINK("https%3A%2F%2Fwww.webofscience.com%2Fwos%2Fwoscc%2Ffull-record%2FWOS:000252873100011","View Full Record in Web of Science")</f>
        <v>View Full Record in Web of Science</v>
      </c>
    </row>
    <row r="794" spans="1:72" x14ac:dyDescent="0.15">
      <c r="A794" t="s">
        <v>72</v>
      </c>
      <c r="B794" t="s">
        <v>10312</v>
      </c>
      <c r="C794" t="s">
        <v>74</v>
      </c>
      <c r="D794" t="s">
        <v>74</v>
      </c>
      <c r="E794" t="s">
        <v>74</v>
      </c>
      <c r="F794" t="s">
        <v>10313</v>
      </c>
      <c r="G794" t="s">
        <v>74</v>
      </c>
      <c r="H794" t="s">
        <v>74</v>
      </c>
      <c r="I794" t="s">
        <v>10314</v>
      </c>
      <c r="J794" t="s">
        <v>4622</v>
      </c>
      <c r="K794" t="s">
        <v>74</v>
      </c>
      <c r="L794" t="s">
        <v>74</v>
      </c>
      <c r="M794" t="s">
        <v>78</v>
      </c>
      <c r="N794" t="s">
        <v>2737</v>
      </c>
      <c r="O794" t="s">
        <v>74</v>
      </c>
      <c r="P794" t="s">
        <v>74</v>
      </c>
      <c r="Q794" t="s">
        <v>74</v>
      </c>
      <c r="R794" t="s">
        <v>74</v>
      </c>
      <c r="S794" t="s">
        <v>74</v>
      </c>
      <c r="T794" t="s">
        <v>74</v>
      </c>
      <c r="U794" t="s">
        <v>10315</v>
      </c>
      <c r="V794" t="s">
        <v>10316</v>
      </c>
      <c r="W794" t="s">
        <v>10317</v>
      </c>
      <c r="X794" t="s">
        <v>10318</v>
      </c>
      <c r="Y794" t="s">
        <v>10319</v>
      </c>
      <c r="Z794" t="s">
        <v>10320</v>
      </c>
      <c r="AA794" t="s">
        <v>10321</v>
      </c>
      <c r="AB794" t="s">
        <v>10322</v>
      </c>
      <c r="AC794" t="s">
        <v>74</v>
      </c>
      <c r="AD794" t="s">
        <v>74</v>
      </c>
      <c r="AE794" t="s">
        <v>74</v>
      </c>
      <c r="AF794" t="s">
        <v>74</v>
      </c>
      <c r="AG794">
        <v>32</v>
      </c>
      <c r="AH794">
        <v>134</v>
      </c>
      <c r="AI794">
        <v>147</v>
      </c>
      <c r="AJ794">
        <v>6</v>
      </c>
      <c r="AK794">
        <v>68</v>
      </c>
      <c r="AL794" t="s">
        <v>4064</v>
      </c>
      <c r="AM794" t="s">
        <v>3281</v>
      </c>
      <c r="AN794" t="s">
        <v>4065</v>
      </c>
      <c r="AO794" t="s">
        <v>4623</v>
      </c>
      <c r="AP794" t="s">
        <v>4643</v>
      </c>
      <c r="AQ794" t="s">
        <v>74</v>
      </c>
      <c r="AR794" t="s">
        <v>4624</v>
      </c>
      <c r="AS794" t="s">
        <v>4625</v>
      </c>
      <c r="AT794" t="s">
        <v>9987</v>
      </c>
      <c r="AU794">
        <v>2008</v>
      </c>
      <c r="AV794">
        <v>42</v>
      </c>
      <c r="AW794">
        <v>5</v>
      </c>
      <c r="AX794" t="s">
        <v>74</v>
      </c>
      <c r="AY794" t="s">
        <v>74</v>
      </c>
      <c r="AZ794" t="s">
        <v>74</v>
      </c>
      <c r="BA794" t="s">
        <v>74</v>
      </c>
      <c r="BB794">
        <v>1452</v>
      </c>
      <c r="BC794">
        <v>1457</v>
      </c>
      <c r="BD794" t="s">
        <v>74</v>
      </c>
      <c r="BE794" t="s">
        <v>10323</v>
      </c>
      <c r="BF794" t="str">
        <f>HYPERLINK("http://dx.doi.org/10.1021/es702547a","http://dx.doi.org/10.1021/es702547a")</f>
        <v>http://dx.doi.org/10.1021/es702547a</v>
      </c>
      <c r="BG794" t="s">
        <v>74</v>
      </c>
      <c r="BH794" t="s">
        <v>74</v>
      </c>
      <c r="BI794">
        <v>6</v>
      </c>
      <c r="BJ794" t="s">
        <v>4628</v>
      </c>
      <c r="BK794" t="s">
        <v>419</v>
      </c>
      <c r="BL794" t="s">
        <v>4629</v>
      </c>
      <c r="BM794" t="s">
        <v>10324</v>
      </c>
      <c r="BN794">
        <v>18441787</v>
      </c>
      <c r="BO794" t="s">
        <v>74</v>
      </c>
      <c r="BP794" t="s">
        <v>74</v>
      </c>
      <c r="BQ794" t="s">
        <v>74</v>
      </c>
      <c r="BR794" t="s">
        <v>101</v>
      </c>
      <c r="BS794" t="s">
        <v>10325</v>
      </c>
      <c r="BT794" t="str">
        <f>HYPERLINK("https%3A%2F%2Fwww.webofscience.com%2Fwos%2Fwoscc%2Ffull-record%2FWOS:000253521300016","View Full Record in Web of Science")</f>
        <v>View Full Record in Web of Science</v>
      </c>
    </row>
    <row r="795" spans="1:72" x14ac:dyDescent="0.15">
      <c r="A795" t="s">
        <v>72</v>
      </c>
      <c r="B795" t="s">
        <v>10326</v>
      </c>
      <c r="C795" t="s">
        <v>74</v>
      </c>
      <c r="D795" t="s">
        <v>74</v>
      </c>
      <c r="E795" t="s">
        <v>74</v>
      </c>
      <c r="F795" t="s">
        <v>10327</v>
      </c>
      <c r="G795" t="s">
        <v>74</v>
      </c>
      <c r="H795" t="s">
        <v>74</v>
      </c>
      <c r="I795" t="s">
        <v>10328</v>
      </c>
      <c r="J795" t="s">
        <v>6370</v>
      </c>
      <c r="K795" t="s">
        <v>74</v>
      </c>
      <c r="L795" t="s">
        <v>74</v>
      </c>
      <c r="M795" t="s">
        <v>78</v>
      </c>
      <c r="N795" t="s">
        <v>2958</v>
      </c>
      <c r="O795" t="s">
        <v>74</v>
      </c>
      <c r="P795" t="s">
        <v>74</v>
      </c>
      <c r="Q795" t="s">
        <v>74</v>
      </c>
      <c r="R795" t="s">
        <v>74</v>
      </c>
      <c r="S795" t="s">
        <v>74</v>
      </c>
      <c r="T795" t="s">
        <v>10329</v>
      </c>
      <c r="U795" t="s">
        <v>10330</v>
      </c>
      <c r="V795" t="s">
        <v>10331</v>
      </c>
      <c r="W795" t="s">
        <v>10332</v>
      </c>
      <c r="X795" t="s">
        <v>10333</v>
      </c>
      <c r="Y795" t="s">
        <v>10334</v>
      </c>
      <c r="Z795" t="s">
        <v>10335</v>
      </c>
      <c r="AA795" t="s">
        <v>10336</v>
      </c>
      <c r="AB795" t="s">
        <v>10337</v>
      </c>
      <c r="AC795" t="s">
        <v>10338</v>
      </c>
      <c r="AD795" t="s">
        <v>3031</v>
      </c>
      <c r="AE795" t="s">
        <v>74</v>
      </c>
      <c r="AF795" t="s">
        <v>74</v>
      </c>
      <c r="AG795">
        <v>69</v>
      </c>
      <c r="AH795">
        <v>62</v>
      </c>
      <c r="AI795">
        <v>75</v>
      </c>
      <c r="AJ795">
        <v>0</v>
      </c>
      <c r="AK795">
        <v>39</v>
      </c>
      <c r="AL795" t="s">
        <v>6380</v>
      </c>
      <c r="AM795" t="s">
        <v>5393</v>
      </c>
      <c r="AN795" t="s">
        <v>9324</v>
      </c>
      <c r="AO795" t="s">
        <v>6382</v>
      </c>
      <c r="AP795" t="s">
        <v>6383</v>
      </c>
      <c r="AQ795" t="s">
        <v>74</v>
      </c>
      <c r="AR795" t="s">
        <v>6370</v>
      </c>
      <c r="AS795" t="s">
        <v>6384</v>
      </c>
      <c r="AT795" t="s">
        <v>9967</v>
      </c>
      <c r="AU795">
        <v>2008</v>
      </c>
      <c r="AV795">
        <v>12</v>
      </c>
      <c r="AW795">
        <v>2</v>
      </c>
      <c r="AX795" t="s">
        <v>74</v>
      </c>
      <c r="AY795" t="s">
        <v>74</v>
      </c>
      <c r="AZ795" t="s">
        <v>74</v>
      </c>
      <c r="BA795" t="s">
        <v>74</v>
      </c>
      <c r="BB795">
        <v>167</v>
      </c>
      <c r="BC795">
        <v>175</v>
      </c>
      <c r="BD795" t="s">
        <v>74</v>
      </c>
      <c r="BE795" t="s">
        <v>10339</v>
      </c>
      <c r="BF795" t="str">
        <f>HYPERLINK("http://dx.doi.org/10.1007/s00792-007-0134-6","http://dx.doi.org/10.1007/s00792-007-0134-6")</f>
        <v>http://dx.doi.org/10.1007/s00792-007-0134-6</v>
      </c>
      <c r="BG795" t="s">
        <v>74</v>
      </c>
      <c r="BH795" t="s">
        <v>74</v>
      </c>
      <c r="BI795">
        <v>9</v>
      </c>
      <c r="BJ795" t="s">
        <v>6386</v>
      </c>
      <c r="BK795" t="s">
        <v>419</v>
      </c>
      <c r="BL795" t="s">
        <v>6386</v>
      </c>
      <c r="BM795" t="s">
        <v>10340</v>
      </c>
      <c r="BN795">
        <v>18188502</v>
      </c>
      <c r="BO795" t="s">
        <v>4372</v>
      </c>
      <c r="BP795" t="s">
        <v>74</v>
      </c>
      <c r="BQ795" t="s">
        <v>74</v>
      </c>
      <c r="BR795" t="s">
        <v>101</v>
      </c>
      <c r="BS795" t="s">
        <v>10341</v>
      </c>
      <c r="BT795" t="str">
        <f>HYPERLINK("https%3A%2F%2Fwww.webofscience.com%2Fwos%2Fwoscc%2Ffull-record%2FWOS:000253696600001","View Full Record in Web of Science")</f>
        <v>View Full Record in Web of Science</v>
      </c>
    </row>
    <row r="796" spans="1:72" x14ac:dyDescent="0.15">
      <c r="A796" t="s">
        <v>72</v>
      </c>
      <c r="B796" t="s">
        <v>10342</v>
      </c>
      <c r="C796" t="s">
        <v>74</v>
      </c>
      <c r="D796" t="s">
        <v>74</v>
      </c>
      <c r="E796" t="s">
        <v>74</v>
      </c>
      <c r="F796" t="s">
        <v>10343</v>
      </c>
      <c r="G796" t="s">
        <v>74</v>
      </c>
      <c r="H796" t="s">
        <v>74</v>
      </c>
      <c r="I796" t="s">
        <v>10344</v>
      </c>
      <c r="J796" t="s">
        <v>8512</v>
      </c>
      <c r="K796" t="s">
        <v>74</v>
      </c>
      <c r="L796" t="s">
        <v>74</v>
      </c>
      <c r="M796" t="s">
        <v>78</v>
      </c>
      <c r="N796" t="s">
        <v>2958</v>
      </c>
      <c r="O796" t="s">
        <v>74</v>
      </c>
      <c r="P796" t="s">
        <v>74</v>
      </c>
      <c r="Q796" t="s">
        <v>74</v>
      </c>
      <c r="R796" t="s">
        <v>74</v>
      </c>
      <c r="S796" t="s">
        <v>74</v>
      </c>
      <c r="T796" t="s">
        <v>10345</v>
      </c>
      <c r="U796" t="s">
        <v>10346</v>
      </c>
      <c r="V796" t="s">
        <v>10347</v>
      </c>
      <c r="W796" t="s">
        <v>10348</v>
      </c>
      <c r="X796" t="s">
        <v>10349</v>
      </c>
      <c r="Y796" t="s">
        <v>10350</v>
      </c>
      <c r="Z796" t="s">
        <v>10351</v>
      </c>
      <c r="AA796" t="s">
        <v>10352</v>
      </c>
      <c r="AB796" t="s">
        <v>10353</v>
      </c>
      <c r="AC796" t="s">
        <v>74</v>
      </c>
      <c r="AD796" t="s">
        <v>74</v>
      </c>
      <c r="AE796" t="s">
        <v>74</v>
      </c>
      <c r="AF796" t="s">
        <v>74</v>
      </c>
      <c r="AG796">
        <v>50</v>
      </c>
      <c r="AH796">
        <v>137</v>
      </c>
      <c r="AI796">
        <v>155</v>
      </c>
      <c r="AJ796">
        <v>3</v>
      </c>
      <c r="AK796">
        <v>74</v>
      </c>
      <c r="AL796" t="s">
        <v>88</v>
      </c>
      <c r="AM796" t="s">
        <v>89</v>
      </c>
      <c r="AN796" t="s">
        <v>90</v>
      </c>
      <c r="AO796" t="s">
        <v>8522</v>
      </c>
      <c r="AP796" t="s">
        <v>8523</v>
      </c>
      <c r="AQ796" t="s">
        <v>74</v>
      </c>
      <c r="AR796" t="s">
        <v>8524</v>
      </c>
      <c r="AS796" t="s">
        <v>8525</v>
      </c>
      <c r="AT796" t="s">
        <v>9967</v>
      </c>
      <c r="AU796">
        <v>2008</v>
      </c>
      <c r="AV796">
        <v>275</v>
      </c>
      <c r="AW796">
        <v>6</v>
      </c>
      <c r="AX796" t="s">
        <v>74</v>
      </c>
      <c r="AY796" t="s">
        <v>74</v>
      </c>
      <c r="AZ796" t="s">
        <v>74</v>
      </c>
      <c r="BA796" t="s">
        <v>74</v>
      </c>
      <c r="BB796">
        <v>1080</v>
      </c>
      <c r="BC796">
        <v>1088</v>
      </c>
      <c r="BD796" t="s">
        <v>74</v>
      </c>
      <c r="BE796" t="s">
        <v>10354</v>
      </c>
      <c r="BF796" t="str">
        <f>HYPERLINK("http://dx.doi.org/10.1111/j.1742-4658.2008.06264.x","http://dx.doi.org/10.1111/j.1742-4658.2008.06264.x")</f>
        <v>http://dx.doi.org/10.1111/j.1742-4658.2008.06264.x</v>
      </c>
      <c r="BG796" t="s">
        <v>74</v>
      </c>
      <c r="BH796" t="s">
        <v>74</v>
      </c>
      <c r="BI796">
        <v>9</v>
      </c>
      <c r="BJ796" t="s">
        <v>4071</v>
      </c>
      <c r="BK796" t="s">
        <v>419</v>
      </c>
      <c r="BL796" t="s">
        <v>4071</v>
      </c>
      <c r="BM796" t="s">
        <v>10355</v>
      </c>
      <c r="BN796">
        <v>18318835</v>
      </c>
      <c r="BO796" t="s">
        <v>3290</v>
      </c>
      <c r="BP796" t="s">
        <v>74</v>
      </c>
      <c r="BQ796" t="s">
        <v>74</v>
      </c>
      <c r="BR796" t="s">
        <v>101</v>
      </c>
      <c r="BS796" t="s">
        <v>10356</v>
      </c>
      <c r="BT796" t="str">
        <f>HYPERLINK("https%3A%2F%2Fwww.webofscience.com%2Fwos%2Fwoscc%2Ffull-record%2FWOS:000253758200004","View Full Record in Web of Science")</f>
        <v>View Full Record in Web of Science</v>
      </c>
    </row>
    <row r="797" spans="1:72" x14ac:dyDescent="0.15">
      <c r="A797" t="s">
        <v>72</v>
      </c>
      <c r="B797" t="s">
        <v>10357</v>
      </c>
      <c r="C797" t="s">
        <v>74</v>
      </c>
      <c r="D797" t="s">
        <v>74</v>
      </c>
      <c r="E797" t="s">
        <v>74</v>
      </c>
      <c r="F797" t="s">
        <v>10358</v>
      </c>
      <c r="G797" t="s">
        <v>74</v>
      </c>
      <c r="H797" t="s">
        <v>74</v>
      </c>
      <c r="I797" t="s">
        <v>10359</v>
      </c>
      <c r="J797" t="s">
        <v>10360</v>
      </c>
      <c r="K797" t="s">
        <v>74</v>
      </c>
      <c r="L797" t="s">
        <v>74</v>
      </c>
      <c r="M797" t="s">
        <v>78</v>
      </c>
      <c r="N797" t="s">
        <v>2737</v>
      </c>
      <c r="O797" t="s">
        <v>74</v>
      </c>
      <c r="P797" t="s">
        <v>74</v>
      </c>
      <c r="Q797" t="s">
        <v>74</v>
      </c>
      <c r="R797" t="s">
        <v>74</v>
      </c>
      <c r="S797" t="s">
        <v>74</v>
      </c>
      <c r="T797" t="s">
        <v>10361</v>
      </c>
      <c r="U797" t="s">
        <v>10362</v>
      </c>
      <c r="V797" t="s">
        <v>10363</v>
      </c>
      <c r="W797" t="s">
        <v>10364</v>
      </c>
      <c r="X797" t="s">
        <v>10365</v>
      </c>
      <c r="Y797" t="s">
        <v>10366</v>
      </c>
      <c r="Z797" t="s">
        <v>10367</v>
      </c>
      <c r="AA797" t="s">
        <v>10368</v>
      </c>
      <c r="AB797" t="s">
        <v>10369</v>
      </c>
      <c r="AC797" t="s">
        <v>10370</v>
      </c>
      <c r="AD797" t="s">
        <v>10371</v>
      </c>
      <c r="AE797" t="s">
        <v>74</v>
      </c>
      <c r="AF797" t="s">
        <v>74</v>
      </c>
      <c r="AG797">
        <v>14</v>
      </c>
      <c r="AH797">
        <v>21</v>
      </c>
      <c r="AI797">
        <v>25</v>
      </c>
      <c r="AJ797">
        <v>1</v>
      </c>
      <c r="AK797">
        <v>12</v>
      </c>
      <c r="AL797" t="s">
        <v>2746</v>
      </c>
      <c r="AM797" t="s">
        <v>2793</v>
      </c>
      <c r="AN797" t="s">
        <v>2794</v>
      </c>
      <c r="AO797" t="s">
        <v>10372</v>
      </c>
      <c r="AP797" t="s">
        <v>10373</v>
      </c>
      <c r="AQ797" t="s">
        <v>74</v>
      </c>
      <c r="AR797" t="s">
        <v>10374</v>
      </c>
      <c r="AS797" t="s">
        <v>10375</v>
      </c>
      <c r="AT797" t="s">
        <v>9967</v>
      </c>
      <c r="AU797">
        <v>2008</v>
      </c>
      <c r="AV797">
        <v>34</v>
      </c>
      <c r="AW797">
        <v>1</v>
      </c>
      <c r="AX797" t="s">
        <v>74</v>
      </c>
      <c r="AY797" t="s">
        <v>74</v>
      </c>
      <c r="AZ797" t="s">
        <v>74</v>
      </c>
      <c r="BA797" t="s">
        <v>74</v>
      </c>
      <c r="BB797">
        <v>19</v>
      </c>
      <c r="BC797">
        <v>24</v>
      </c>
      <c r="BD797" t="s">
        <v>74</v>
      </c>
      <c r="BE797" t="s">
        <v>10376</v>
      </c>
      <c r="BF797" t="str">
        <f>HYPERLINK("http://dx.doi.org/10.1007/s10695-007-9141-x","http://dx.doi.org/10.1007/s10695-007-9141-x")</f>
        <v>http://dx.doi.org/10.1007/s10695-007-9141-x</v>
      </c>
      <c r="BG797" t="s">
        <v>74</v>
      </c>
      <c r="BH797" t="s">
        <v>74</v>
      </c>
      <c r="BI797">
        <v>6</v>
      </c>
      <c r="BJ797" t="s">
        <v>10377</v>
      </c>
      <c r="BK797" t="s">
        <v>419</v>
      </c>
      <c r="BL797" t="s">
        <v>10377</v>
      </c>
      <c r="BM797" t="s">
        <v>10378</v>
      </c>
      <c r="BN797">
        <v>18649019</v>
      </c>
      <c r="BO797" t="s">
        <v>74</v>
      </c>
      <c r="BP797" t="s">
        <v>74</v>
      </c>
      <c r="BQ797" t="s">
        <v>74</v>
      </c>
      <c r="BR797" t="s">
        <v>101</v>
      </c>
      <c r="BS797" t="s">
        <v>10379</v>
      </c>
      <c r="BT797" t="str">
        <f>HYPERLINK("https%3A%2F%2Fwww.webofscience.com%2Fwos%2Fwoscc%2Ffull-record%2FWOS:000253527500003","View Full Record in Web of Science")</f>
        <v>View Full Record in Web of Science</v>
      </c>
    </row>
    <row r="798" spans="1:72" x14ac:dyDescent="0.15">
      <c r="A798" t="s">
        <v>72</v>
      </c>
      <c r="B798" t="s">
        <v>10380</v>
      </c>
      <c r="C798" t="s">
        <v>74</v>
      </c>
      <c r="D798" t="s">
        <v>74</v>
      </c>
      <c r="E798" t="s">
        <v>74</v>
      </c>
      <c r="F798" t="s">
        <v>10381</v>
      </c>
      <c r="G798" t="s">
        <v>74</v>
      </c>
      <c r="H798" t="s">
        <v>74</v>
      </c>
      <c r="I798" t="s">
        <v>10382</v>
      </c>
      <c r="J798" t="s">
        <v>10383</v>
      </c>
      <c r="K798" t="s">
        <v>74</v>
      </c>
      <c r="L798" t="s">
        <v>74</v>
      </c>
      <c r="M798" t="s">
        <v>78</v>
      </c>
      <c r="N798" t="s">
        <v>2989</v>
      </c>
      <c r="O798" t="s">
        <v>74</v>
      </c>
      <c r="P798" t="s">
        <v>74</v>
      </c>
      <c r="Q798" t="s">
        <v>74</v>
      </c>
      <c r="R798" t="s">
        <v>74</v>
      </c>
      <c r="S798" t="s">
        <v>74</v>
      </c>
      <c r="T798" t="s">
        <v>74</v>
      </c>
      <c r="U798" t="s">
        <v>74</v>
      </c>
      <c r="V798" t="s">
        <v>74</v>
      </c>
      <c r="W798" t="s">
        <v>74</v>
      </c>
      <c r="X798" t="s">
        <v>74</v>
      </c>
      <c r="Y798" t="s">
        <v>74</v>
      </c>
      <c r="Z798" t="s">
        <v>74</v>
      </c>
      <c r="AA798" t="s">
        <v>74</v>
      </c>
      <c r="AB798" t="s">
        <v>74</v>
      </c>
      <c r="AC798" t="s">
        <v>74</v>
      </c>
      <c r="AD798" t="s">
        <v>74</v>
      </c>
      <c r="AE798" t="s">
        <v>74</v>
      </c>
      <c r="AF798" t="s">
        <v>74</v>
      </c>
      <c r="AG798">
        <v>0</v>
      </c>
      <c r="AH798">
        <v>2</v>
      </c>
      <c r="AI798">
        <v>2</v>
      </c>
      <c r="AJ798">
        <v>0</v>
      </c>
      <c r="AK798">
        <v>3</v>
      </c>
      <c r="AL798" t="s">
        <v>10384</v>
      </c>
      <c r="AM798" t="s">
        <v>4112</v>
      </c>
      <c r="AN798" t="s">
        <v>10385</v>
      </c>
      <c r="AO798" t="s">
        <v>10386</v>
      </c>
      <c r="AP798" t="s">
        <v>74</v>
      </c>
      <c r="AQ798" t="s">
        <v>74</v>
      </c>
      <c r="AR798" t="s">
        <v>10383</v>
      </c>
      <c r="AS798" t="s">
        <v>10387</v>
      </c>
      <c r="AT798" t="s">
        <v>10388</v>
      </c>
      <c r="AU798">
        <v>2008</v>
      </c>
      <c r="AV798">
        <v>42</v>
      </c>
      <c r="AW798">
        <v>2</v>
      </c>
      <c r="AX798" t="s">
        <v>74</v>
      </c>
      <c r="AY798" t="s">
        <v>74</v>
      </c>
      <c r="AZ798" t="s">
        <v>74</v>
      </c>
      <c r="BA798" t="s">
        <v>74</v>
      </c>
      <c r="BB798">
        <v>10</v>
      </c>
      <c r="BC798">
        <v>10</v>
      </c>
      <c r="BD798" t="s">
        <v>74</v>
      </c>
      <c r="BE798" t="s">
        <v>74</v>
      </c>
      <c r="BF798" t="s">
        <v>74</v>
      </c>
      <c r="BG798" t="s">
        <v>74</v>
      </c>
      <c r="BH798" t="s">
        <v>74</v>
      </c>
      <c r="BI798">
        <v>1</v>
      </c>
      <c r="BJ798" t="s">
        <v>10389</v>
      </c>
      <c r="BK798" t="s">
        <v>4307</v>
      </c>
      <c r="BL798" t="s">
        <v>10389</v>
      </c>
      <c r="BM798" t="s">
        <v>10390</v>
      </c>
      <c r="BN798" t="s">
        <v>74</v>
      </c>
      <c r="BO798" t="s">
        <v>74</v>
      </c>
      <c r="BP798" t="s">
        <v>74</v>
      </c>
      <c r="BQ798" t="s">
        <v>74</v>
      </c>
      <c r="BR798" t="s">
        <v>101</v>
      </c>
      <c r="BS798" t="s">
        <v>10391</v>
      </c>
      <c r="BT798" t="str">
        <f>HYPERLINK("https%3A%2F%2Fwww.webofscience.com%2Fwos%2Fwoscc%2Ffull-record%2FWOS:000253367900009","View Full Record in Web of Science")</f>
        <v>View Full Record in Web of Science</v>
      </c>
    </row>
    <row r="799" spans="1:72" x14ac:dyDescent="0.15">
      <c r="A799" t="s">
        <v>72</v>
      </c>
      <c r="B799" t="s">
        <v>10392</v>
      </c>
      <c r="C799" t="s">
        <v>74</v>
      </c>
      <c r="D799" t="s">
        <v>74</v>
      </c>
      <c r="E799" t="s">
        <v>74</v>
      </c>
      <c r="F799" t="s">
        <v>10393</v>
      </c>
      <c r="G799" t="s">
        <v>74</v>
      </c>
      <c r="H799" t="s">
        <v>74</v>
      </c>
      <c r="I799" t="s">
        <v>10394</v>
      </c>
      <c r="J799" t="s">
        <v>10395</v>
      </c>
      <c r="K799" t="s">
        <v>74</v>
      </c>
      <c r="L799" t="s">
        <v>74</v>
      </c>
      <c r="M799" t="s">
        <v>78</v>
      </c>
      <c r="N799" t="s">
        <v>2737</v>
      </c>
      <c r="O799" t="s">
        <v>74</v>
      </c>
      <c r="P799" t="s">
        <v>74</v>
      </c>
      <c r="Q799" t="s">
        <v>74</v>
      </c>
      <c r="R799" t="s">
        <v>74</v>
      </c>
      <c r="S799" t="s">
        <v>74</v>
      </c>
      <c r="T799" t="s">
        <v>10396</v>
      </c>
      <c r="U799" t="s">
        <v>10397</v>
      </c>
      <c r="V799" t="s">
        <v>10398</v>
      </c>
      <c r="W799" t="s">
        <v>10399</v>
      </c>
      <c r="X799" t="s">
        <v>10400</v>
      </c>
      <c r="Y799" t="s">
        <v>10401</v>
      </c>
      <c r="Z799" t="s">
        <v>10402</v>
      </c>
      <c r="AA799" t="s">
        <v>74</v>
      </c>
      <c r="AB799" t="s">
        <v>10403</v>
      </c>
      <c r="AC799" t="s">
        <v>74</v>
      </c>
      <c r="AD799" t="s">
        <v>74</v>
      </c>
      <c r="AE799" t="s">
        <v>74</v>
      </c>
      <c r="AF799" t="s">
        <v>74</v>
      </c>
      <c r="AG799">
        <v>90</v>
      </c>
      <c r="AH799">
        <v>87</v>
      </c>
      <c r="AI799">
        <v>91</v>
      </c>
      <c r="AJ799">
        <v>0</v>
      </c>
      <c r="AK799">
        <v>18</v>
      </c>
      <c r="AL799" t="s">
        <v>10404</v>
      </c>
      <c r="AM799" t="s">
        <v>10405</v>
      </c>
      <c r="AN799" t="s">
        <v>10406</v>
      </c>
      <c r="AO799" t="s">
        <v>10407</v>
      </c>
      <c r="AP799" t="s">
        <v>10408</v>
      </c>
      <c r="AQ799" t="s">
        <v>74</v>
      </c>
      <c r="AR799" t="s">
        <v>10409</v>
      </c>
      <c r="AS799" t="s">
        <v>10410</v>
      </c>
      <c r="AT799" t="s">
        <v>9967</v>
      </c>
      <c r="AU799">
        <v>2008</v>
      </c>
      <c r="AV799">
        <v>6</v>
      </c>
      <c r="AW799">
        <v>1</v>
      </c>
      <c r="AX799" t="s">
        <v>74</v>
      </c>
      <c r="AY799" t="s">
        <v>74</v>
      </c>
      <c r="AZ799" t="s">
        <v>74</v>
      </c>
      <c r="BA799" t="s">
        <v>74</v>
      </c>
      <c r="BB799">
        <v>19</v>
      </c>
      <c r="BC799">
        <v>42</v>
      </c>
      <c r="BD799" t="s">
        <v>74</v>
      </c>
      <c r="BE799" t="s">
        <v>74</v>
      </c>
      <c r="BF799" t="s">
        <v>74</v>
      </c>
      <c r="BG799" t="s">
        <v>74</v>
      </c>
      <c r="BH799" t="s">
        <v>74</v>
      </c>
      <c r="BI799">
        <v>24</v>
      </c>
      <c r="BJ799" t="s">
        <v>3094</v>
      </c>
      <c r="BK799" t="s">
        <v>419</v>
      </c>
      <c r="BL799" t="s">
        <v>3094</v>
      </c>
      <c r="BM799" t="s">
        <v>10411</v>
      </c>
      <c r="BN799" t="s">
        <v>74</v>
      </c>
      <c r="BO799" t="s">
        <v>74</v>
      </c>
      <c r="BP799" t="s">
        <v>74</v>
      </c>
      <c r="BQ799" t="s">
        <v>74</v>
      </c>
      <c r="BR799" t="s">
        <v>101</v>
      </c>
      <c r="BS799" t="s">
        <v>10412</v>
      </c>
      <c r="BT799" t="str">
        <f>HYPERLINK("https%3A%2F%2Fwww.webofscience.com%2Fwos%2Fwoscc%2Ffull-record%2FWOS:000254426400003","View Full Record in Web of Science")</f>
        <v>View Full Record in Web of Science</v>
      </c>
    </row>
    <row r="800" spans="1:72" x14ac:dyDescent="0.15">
      <c r="A800" t="s">
        <v>72</v>
      </c>
      <c r="B800" t="s">
        <v>10413</v>
      </c>
      <c r="C800" t="s">
        <v>74</v>
      </c>
      <c r="D800" t="s">
        <v>74</v>
      </c>
      <c r="E800" t="s">
        <v>74</v>
      </c>
      <c r="F800" t="s">
        <v>10414</v>
      </c>
      <c r="G800" t="s">
        <v>74</v>
      </c>
      <c r="H800" t="s">
        <v>74</v>
      </c>
      <c r="I800" t="s">
        <v>10415</v>
      </c>
      <c r="J800" t="s">
        <v>10395</v>
      </c>
      <c r="K800" t="s">
        <v>74</v>
      </c>
      <c r="L800" t="s">
        <v>74</v>
      </c>
      <c r="M800" t="s">
        <v>78</v>
      </c>
      <c r="N800" t="s">
        <v>2737</v>
      </c>
      <c r="O800" t="s">
        <v>74</v>
      </c>
      <c r="P800" t="s">
        <v>74</v>
      </c>
      <c r="Q800" t="s">
        <v>74</v>
      </c>
      <c r="R800" t="s">
        <v>74</v>
      </c>
      <c r="S800" t="s">
        <v>74</v>
      </c>
      <c r="T800" t="s">
        <v>10416</v>
      </c>
      <c r="U800" t="s">
        <v>10417</v>
      </c>
      <c r="V800" t="s">
        <v>10418</v>
      </c>
      <c r="W800" t="s">
        <v>10419</v>
      </c>
      <c r="X800" t="s">
        <v>9923</v>
      </c>
      <c r="Y800" t="s">
        <v>10420</v>
      </c>
      <c r="Z800" t="s">
        <v>10421</v>
      </c>
      <c r="AA800" t="s">
        <v>10422</v>
      </c>
      <c r="AB800" t="s">
        <v>74</v>
      </c>
      <c r="AC800" t="s">
        <v>74</v>
      </c>
      <c r="AD800" t="s">
        <v>74</v>
      </c>
      <c r="AE800" t="s">
        <v>74</v>
      </c>
      <c r="AF800" t="s">
        <v>74</v>
      </c>
      <c r="AG800">
        <v>63</v>
      </c>
      <c r="AH800">
        <v>72</v>
      </c>
      <c r="AI800">
        <v>78</v>
      </c>
      <c r="AJ800">
        <v>0</v>
      </c>
      <c r="AK800">
        <v>7</v>
      </c>
      <c r="AL800" t="s">
        <v>10404</v>
      </c>
      <c r="AM800" t="s">
        <v>10405</v>
      </c>
      <c r="AN800" t="s">
        <v>10406</v>
      </c>
      <c r="AO800" t="s">
        <v>10407</v>
      </c>
      <c r="AP800" t="s">
        <v>10408</v>
      </c>
      <c r="AQ800" t="s">
        <v>74</v>
      </c>
      <c r="AR800" t="s">
        <v>10409</v>
      </c>
      <c r="AS800" t="s">
        <v>10410</v>
      </c>
      <c r="AT800" t="s">
        <v>9967</v>
      </c>
      <c r="AU800">
        <v>2008</v>
      </c>
      <c r="AV800">
        <v>6</v>
      </c>
      <c r="AW800">
        <v>1</v>
      </c>
      <c r="AX800" t="s">
        <v>74</v>
      </c>
      <c r="AY800" t="s">
        <v>74</v>
      </c>
      <c r="AZ800" t="s">
        <v>74</v>
      </c>
      <c r="BA800" t="s">
        <v>74</v>
      </c>
      <c r="BB800">
        <v>43</v>
      </c>
      <c r="BC800">
        <v>53</v>
      </c>
      <c r="BD800" t="s">
        <v>74</v>
      </c>
      <c r="BE800" t="s">
        <v>74</v>
      </c>
      <c r="BF800" t="s">
        <v>74</v>
      </c>
      <c r="BG800" t="s">
        <v>74</v>
      </c>
      <c r="BH800" t="s">
        <v>74</v>
      </c>
      <c r="BI800">
        <v>11</v>
      </c>
      <c r="BJ800" t="s">
        <v>3094</v>
      </c>
      <c r="BK800" t="s">
        <v>419</v>
      </c>
      <c r="BL800" t="s">
        <v>3094</v>
      </c>
      <c r="BM800" t="s">
        <v>10411</v>
      </c>
      <c r="BN800" t="s">
        <v>74</v>
      </c>
      <c r="BO800" t="s">
        <v>74</v>
      </c>
      <c r="BP800" t="s">
        <v>74</v>
      </c>
      <c r="BQ800" t="s">
        <v>74</v>
      </c>
      <c r="BR800" t="s">
        <v>101</v>
      </c>
      <c r="BS800" t="s">
        <v>10423</v>
      </c>
      <c r="BT800" t="str">
        <f>HYPERLINK("https%3A%2F%2Fwww.webofscience.com%2Fwos%2Fwoscc%2Ffull-record%2FWOS:000254426400004","View Full Record in Web of Science")</f>
        <v>View Full Record in Web of Science</v>
      </c>
    </row>
    <row r="801" spans="1:72" x14ac:dyDescent="0.15">
      <c r="A801" t="s">
        <v>72</v>
      </c>
      <c r="B801" t="s">
        <v>10424</v>
      </c>
      <c r="C801" t="s">
        <v>74</v>
      </c>
      <c r="D801" t="s">
        <v>74</v>
      </c>
      <c r="E801" t="s">
        <v>74</v>
      </c>
      <c r="F801" t="s">
        <v>10425</v>
      </c>
      <c r="G801" t="s">
        <v>74</v>
      </c>
      <c r="H801" t="s">
        <v>74</v>
      </c>
      <c r="I801" t="s">
        <v>10426</v>
      </c>
      <c r="J801" t="s">
        <v>10427</v>
      </c>
      <c r="K801" t="s">
        <v>74</v>
      </c>
      <c r="L801" t="s">
        <v>74</v>
      </c>
      <c r="M801" t="s">
        <v>78</v>
      </c>
      <c r="N801" t="s">
        <v>2737</v>
      </c>
      <c r="O801" t="s">
        <v>74</v>
      </c>
      <c r="P801" t="s">
        <v>74</v>
      </c>
      <c r="Q801" t="s">
        <v>74</v>
      </c>
      <c r="R801" t="s">
        <v>74</v>
      </c>
      <c r="S801" t="s">
        <v>74</v>
      </c>
      <c r="T801" t="s">
        <v>10428</v>
      </c>
      <c r="U801" t="s">
        <v>10429</v>
      </c>
      <c r="V801" t="s">
        <v>10430</v>
      </c>
      <c r="W801" t="s">
        <v>10431</v>
      </c>
      <c r="X801" t="s">
        <v>10432</v>
      </c>
      <c r="Y801" t="s">
        <v>10433</v>
      </c>
      <c r="Z801" t="s">
        <v>74</v>
      </c>
      <c r="AA801" t="s">
        <v>10434</v>
      </c>
      <c r="AB801" t="s">
        <v>10435</v>
      </c>
      <c r="AC801" t="s">
        <v>10436</v>
      </c>
      <c r="AD801" t="s">
        <v>3031</v>
      </c>
      <c r="AE801" t="s">
        <v>74</v>
      </c>
      <c r="AF801" t="s">
        <v>74</v>
      </c>
      <c r="AG801">
        <v>19</v>
      </c>
      <c r="AH801">
        <v>47</v>
      </c>
      <c r="AI801">
        <v>54</v>
      </c>
      <c r="AJ801">
        <v>0</v>
      </c>
      <c r="AK801">
        <v>14</v>
      </c>
      <c r="AL801" t="s">
        <v>6423</v>
      </c>
      <c r="AM801" t="s">
        <v>6005</v>
      </c>
      <c r="AN801" t="s">
        <v>6424</v>
      </c>
      <c r="AO801" t="s">
        <v>10437</v>
      </c>
      <c r="AP801" t="s">
        <v>10438</v>
      </c>
      <c r="AQ801" t="s">
        <v>74</v>
      </c>
      <c r="AR801" t="s">
        <v>10427</v>
      </c>
      <c r="AS801" t="s">
        <v>3094</v>
      </c>
      <c r="AT801" t="s">
        <v>9967</v>
      </c>
      <c r="AU801">
        <v>2008</v>
      </c>
      <c r="AV801">
        <v>36</v>
      </c>
      <c r="AW801">
        <v>3</v>
      </c>
      <c r="AX801" t="s">
        <v>74</v>
      </c>
      <c r="AY801" t="s">
        <v>74</v>
      </c>
      <c r="AZ801" t="s">
        <v>74</v>
      </c>
      <c r="BA801" t="s">
        <v>74</v>
      </c>
      <c r="BB801">
        <v>223</v>
      </c>
      <c r="BC801">
        <v>226</v>
      </c>
      <c r="BD801" t="s">
        <v>74</v>
      </c>
      <c r="BE801" t="s">
        <v>10439</v>
      </c>
      <c r="BF801" t="str">
        <f>HYPERLINK("http://dx.doi.org/10.1130/G24207A.1","http://dx.doi.org/10.1130/G24207A.1")</f>
        <v>http://dx.doi.org/10.1130/G24207A.1</v>
      </c>
      <c r="BG801" t="s">
        <v>74</v>
      </c>
      <c r="BH801" t="s">
        <v>74</v>
      </c>
      <c r="BI801">
        <v>4</v>
      </c>
      <c r="BJ801" t="s">
        <v>3094</v>
      </c>
      <c r="BK801" t="s">
        <v>419</v>
      </c>
      <c r="BL801" t="s">
        <v>3094</v>
      </c>
      <c r="BM801" t="s">
        <v>10440</v>
      </c>
      <c r="BN801" t="s">
        <v>74</v>
      </c>
      <c r="BO801" t="s">
        <v>3311</v>
      </c>
      <c r="BP801" t="s">
        <v>74</v>
      </c>
      <c r="BQ801" t="s">
        <v>74</v>
      </c>
      <c r="BR801" t="s">
        <v>101</v>
      </c>
      <c r="BS801" t="s">
        <v>10441</v>
      </c>
      <c r="BT801" t="str">
        <f>HYPERLINK("https%3A%2F%2Fwww.webofscience.com%2Fwos%2Fwoscc%2Ffull-record%2FWOS:000253751000008","View Full Record in Web of Science")</f>
        <v>View Full Record in Web of Science</v>
      </c>
    </row>
    <row r="802" spans="1:72" x14ac:dyDescent="0.15">
      <c r="A802" t="s">
        <v>72</v>
      </c>
      <c r="B802" t="s">
        <v>10442</v>
      </c>
      <c r="C802" t="s">
        <v>74</v>
      </c>
      <c r="D802" t="s">
        <v>74</v>
      </c>
      <c r="E802" t="s">
        <v>74</v>
      </c>
      <c r="F802" t="s">
        <v>10443</v>
      </c>
      <c r="G802" t="s">
        <v>74</v>
      </c>
      <c r="H802" t="s">
        <v>74</v>
      </c>
      <c r="I802" t="s">
        <v>10444</v>
      </c>
      <c r="J802" t="s">
        <v>10427</v>
      </c>
      <c r="K802" t="s">
        <v>74</v>
      </c>
      <c r="L802" t="s">
        <v>74</v>
      </c>
      <c r="M802" t="s">
        <v>78</v>
      </c>
      <c r="N802" t="s">
        <v>2737</v>
      </c>
      <c r="O802" t="s">
        <v>74</v>
      </c>
      <c r="P802" t="s">
        <v>74</v>
      </c>
      <c r="Q802" t="s">
        <v>74</v>
      </c>
      <c r="R802" t="s">
        <v>74</v>
      </c>
      <c r="S802" t="s">
        <v>74</v>
      </c>
      <c r="T802" t="s">
        <v>10445</v>
      </c>
      <c r="U802" t="s">
        <v>10446</v>
      </c>
      <c r="V802" t="s">
        <v>10447</v>
      </c>
      <c r="W802" t="s">
        <v>10448</v>
      </c>
      <c r="X802" t="s">
        <v>10449</v>
      </c>
      <c r="Y802" t="s">
        <v>10450</v>
      </c>
      <c r="Z802" t="s">
        <v>74</v>
      </c>
      <c r="AA802" t="s">
        <v>74</v>
      </c>
      <c r="AB802" t="s">
        <v>74</v>
      </c>
      <c r="AC802" t="s">
        <v>74</v>
      </c>
      <c r="AD802" t="s">
        <v>74</v>
      </c>
      <c r="AE802" t="s">
        <v>74</v>
      </c>
      <c r="AF802" t="s">
        <v>74</v>
      </c>
      <c r="AG802">
        <v>29</v>
      </c>
      <c r="AH802">
        <v>72</v>
      </c>
      <c r="AI802">
        <v>79</v>
      </c>
      <c r="AJ802">
        <v>0</v>
      </c>
      <c r="AK802">
        <v>9</v>
      </c>
      <c r="AL802" t="s">
        <v>6423</v>
      </c>
      <c r="AM802" t="s">
        <v>6005</v>
      </c>
      <c r="AN802" t="s">
        <v>6424</v>
      </c>
      <c r="AO802" t="s">
        <v>10437</v>
      </c>
      <c r="AP802" t="s">
        <v>74</v>
      </c>
      <c r="AQ802" t="s">
        <v>74</v>
      </c>
      <c r="AR802" t="s">
        <v>10427</v>
      </c>
      <c r="AS802" t="s">
        <v>3094</v>
      </c>
      <c r="AT802" t="s">
        <v>9967</v>
      </c>
      <c r="AU802">
        <v>2008</v>
      </c>
      <c r="AV802">
        <v>36</v>
      </c>
      <c r="AW802">
        <v>3</v>
      </c>
      <c r="AX802" t="s">
        <v>74</v>
      </c>
      <c r="AY802" t="s">
        <v>74</v>
      </c>
      <c r="AZ802" t="s">
        <v>74</v>
      </c>
      <c r="BA802" t="s">
        <v>74</v>
      </c>
      <c r="BB802">
        <v>247</v>
      </c>
      <c r="BC802">
        <v>250</v>
      </c>
      <c r="BD802" t="s">
        <v>74</v>
      </c>
      <c r="BE802" t="s">
        <v>10451</v>
      </c>
      <c r="BF802" t="str">
        <f>HYPERLINK("http://dx.doi.org/10.1130/G24363A.1","http://dx.doi.org/10.1130/G24363A.1")</f>
        <v>http://dx.doi.org/10.1130/G24363A.1</v>
      </c>
      <c r="BG802" t="s">
        <v>74</v>
      </c>
      <c r="BH802" t="s">
        <v>74</v>
      </c>
      <c r="BI802">
        <v>4</v>
      </c>
      <c r="BJ802" t="s">
        <v>3094</v>
      </c>
      <c r="BK802" t="s">
        <v>419</v>
      </c>
      <c r="BL802" t="s">
        <v>3094</v>
      </c>
      <c r="BM802" t="s">
        <v>10440</v>
      </c>
      <c r="BN802" t="s">
        <v>74</v>
      </c>
      <c r="BO802" t="s">
        <v>74</v>
      </c>
      <c r="BP802" t="s">
        <v>74</v>
      </c>
      <c r="BQ802" t="s">
        <v>74</v>
      </c>
      <c r="BR802" t="s">
        <v>101</v>
      </c>
      <c r="BS802" t="s">
        <v>10452</v>
      </c>
      <c r="BT802" t="str">
        <f>HYPERLINK("https%3A%2F%2Fwww.webofscience.com%2Fwos%2Fwoscc%2Ffull-record%2FWOS:000253751000014","View Full Record in Web of Science")</f>
        <v>View Full Record in Web of Science</v>
      </c>
    </row>
    <row r="803" spans="1:72" x14ac:dyDescent="0.15">
      <c r="A803" t="s">
        <v>72</v>
      </c>
      <c r="B803" t="s">
        <v>10453</v>
      </c>
      <c r="C803" t="s">
        <v>74</v>
      </c>
      <c r="D803" t="s">
        <v>74</v>
      </c>
      <c r="E803" t="s">
        <v>74</v>
      </c>
      <c r="F803" t="s">
        <v>10454</v>
      </c>
      <c r="G803" t="s">
        <v>74</v>
      </c>
      <c r="H803" t="s">
        <v>74</v>
      </c>
      <c r="I803" t="s">
        <v>10455</v>
      </c>
      <c r="J803" t="s">
        <v>10427</v>
      </c>
      <c r="K803" t="s">
        <v>74</v>
      </c>
      <c r="L803" t="s">
        <v>74</v>
      </c>
      <c r="M803" t="s">
        <v>78</v>
      </c>
      <c r="N803" t="s">
        <v>2737</v>
      </c>
      <c r="O803" t="s">
        <v>74</v>
      </c>
      <c r="P803" t="s">
        <v>74</v>
      </c>
      <c r="Q803" t="s">
        <v>74</v>
      </c>
      <c r="R803" t="s">
        <v>74</v>
      </c>
      <c r="S803" t="s">
        <v>74</v>
      </c>
      <c r="T803" t="s">
        <v>10456</v>
      </c>
      <c r="U803" t="s">
        <v>10457</v>
      </c>
      <c r="V803" t="s">
        <v>10458</v>
      </c>
      <c r="W803" t="s">
        <v>10459</v>
      </c>
      <c r="X803" t="s">
        <v>10460</v>
      </c>
      <c r="Y803" t="s">
        <v>10461</v>
      </c>
      <c r="Z803" t="s">
        <v>74</v>
      </c>
      <c r="AA803" t="s">
        <v>10462</v>
      </c>
      <c r="AB803" t="s">
        <v>10463</v>
      </c>
      <c r="AC803" t="s">
        <v>10464</v>
      </c>
      <c r="AD803" t="s">
        <v>3031</v>
      </c>
      <c r="AE803" t="s">
        <v>74</v>
      </c>
      <c r="AF803" t="s">
        <v>74</v>
      </c>
      <c r="AG803">
        <v>32</v>
      </c>
      <c r="AH803">
        <v>274</v>
      </c>
      <c r="AI803">
        <v>316</v>
      </c>
      <c r="AJ803">
        <v>4</v>
      </c>
      <c r="AK803">
        <v>101</v>
      </c>
      <c r="AL803" t="s">
        <v>6423</v>
      </c>
      <c r="AM803" t="s">
        <v>6005</v>
      </c>
      <c r="AN803" t="s">
        <v>6424</v>
      </c>
      <c r="AO803" t="s">
        <v>10437</v>
      </c>
      <c r="AP803" t="s">
        <v>10438</v>
      </c>
      <c r="AQ803" t="s">
        <v>74</v>
      </c>
      <c r="AR803" t="s">
        <v>10427</v>
      </c>
      <c r="AS803" t="s">
        <v>3094</v>
      </c>
      <c r="AT803" t="s">
        <v>9967</v>
      </c>
      <c r="AU803">
        <v>2008</v>
      </c>
      <c r="AV803">
        <v>36</v>
      </c>
      <c r="AW803">
        <v>3</v>
      </c>
      <c r="AX803" t="s">
        <v>74</v>
      </c>
      <c r="AY803" t="s">
        <v>74</v>
      </c>
      <c r="AZ803" t="s">
        <v>74</v>
      </c>
      <c r="BA803" t="s">
        <v>74</v>
      </c>
      <c r="BB803">
        <v>251</v>
      </c>
      <c r="BC803">
        <v>254</v>
      </c>
      <c r="BD803" t="s">
        <v>74</v>
      </c>
      <c r="BE803" t="s">
        <v>10465</v>
      </c>
      <c r="BF803" t="str">
        <f>HYPERLINK("http://dx.doi.org/10.1130/G24584A.1","http://dx.doi.org/10.1130/G24584A.1")</f>
        <v>http://dx.doi.org/10.1130/G24584A.1</v>
      </c>
      <c r="BG803" t="s">
        <v>74</v>
      </c>
      <c r="BH803" t="s">
        <v>74</v>
      </c>
      <c r="BI803">
        <v>4</v>
      </c>
      <c r="BJ803" t="s">
        <v>3094</v>
      </c>
      <c r="BK803" t="s">
        <v>419</v>
      </c>
      <c r="BL803" t="s">
        <v>3094</v>
      </c>
      <c r="BM803" t="s">
        <v>10440</v>
      </c>
      <c r="BN803" t="s">
        <v>74</v>
      </c>
      <c r="BO803" t="s">
        <v>74</v>
      </c>
      <c r="BP803" t="s">
        <v>74</v>
      </c>
      <c r="BQ803" t="s">
        <v>74</v>
      </c>
      <c r="BR803" t="s">
        <v>101</v>
      </c>
      <c r="BS803" t="s">
        <v>10466</v>
      </c>
      <c r="BT803" t="str">
        <f>HYPERLINK("https%3A%2F%2Fwww.webofscience.com%2Fwos%2Fwoscc%2Ffull-record%2FWOS:000253751000015","View Full Record in Web of Science")</f>
        <v>View Full Record in Web of Science</v>
      </c>
    </row>
    <row r="804" spans="1:72" x14ac:dyDescent="0.15">
      <c r="A804" t="s">
        <v>72</v>
      </c>
      <c r="B804" t="s">
        <v>10467</v>
      </c>
      <c r="C804" t="s">
        <v>74</v>
      </c>
      <c r="D804" t="s">
        <v>74</v>
      </c>
      <c r="E804" t="s">
        <v>74</v>
      </c>
      <c r="F804" t="s">
        <v>10468</v>
      </c>
      <c r="G804" t="s">
        <v>74</v>
      </c>
      <c r="H804" t="s">
        <v>74</v>
      </c>
      <c r="I804" t="s">
        <v>10469</v>
      </c>
      <c r="J804" t="s">
        <v>10470</v>
      </c>
      <c r="K804" t="s">
        <v>74</v>
      </c>
      <c r="L804" t="s">
        <v>74</v>
      </c>
      <c r="M804" t="s">
        <v>78</v>
      </c>
      <c r="N804" t="s">
        <v>3318</v>
      </c>
      <c r="O804" t="s">
        <v>10471</v>
      </c>
      <c r="P804" t="s">
        <v>10472</v>
      </c>
      <c r="Q804" t="s">
        <v>10473</v>
      </c>
      <c r="R804" t="s">
        <v>74</v>
      </c>
      <c r="S804" t="s">
        <v>74</v>
      </c>
      <c r="T804" t="s">
        <v>10474</v>
      </c>
      <c r="U804" t="s">
        <v>10475</v>
      </c>
      <c r="V804" t="s">
        <v>10476</v>
      </c>
      <c r="W804" t="s">
        <v>10477</v>
      </c>
      <c r="X804" t="s">
        <v>10478</v>
      </c>
      <c r="Y804" t="s">
        <v>10479</v>
      </c>
      <c r="Z804" t="s">
        <v>10480</v>
      </c>
      <c r="AA804" t="s">
        <v>10481</v>
      </c>
      <c r="AB804" t="s">
        <v>74</v>
      </c>
      <c r="AC804" t="s">
        <v>10482</v>
      </c>
      <c r="AD804" t="s">
        <v>3031</v>
      </c>
      <c r="AE804" t="s">
        <v>74</v>
      </c>
      <c r="AF804" t="s">
        <v>74</v>
      </c>
      <c r="AG804">
        <v>142</v>
      </c>
      <c r="AH804">
        <v>156</v>
      </c>
      <c r="AI804">
        <v>163</v>
      </c>
      <c r="AJ804">
        <v>1</v>
      </c>
      <c r="AK804">
        <v>36</v>
      </c>
      <c r="AL804" t="s">
        <v>3933</v>
      </c>
      <c r="AM804" t="s">
        <v>3258</v>
      </c>
      <c r="AN804" t="s">
        <v>3934</v>
      </c>
      <c r="AO804" t="s">
        <v>10483</v>
      </c>
      <c r="AP804" t="s">
        <v>10484</v>
      </c>
      <c r="AQ804" t="s">
        <v>74</v>
      </c>
      <c r="AR804" t="s">
        <v>10485</v>
      </c>
      <c r="AS804" t="s">
        <v>10486</v>
      </c>
      <c r="AT804" t="s">
        <v>9967</v>
      </c>
      <c r="AU804">
        <v>2008</v>
      </c>
      <c r="AV804">
        <v>13</v>
      </c>
      <c r="AW804">
        <v>2</v>
      </c>
      <c r="AX804" t="s">
        <v>74</v>
      </c>
      <c r="AY804" t="s">
        <v>74</v>
      </c>
      <c r="AZ804" t="s">
        <v>74</v>
      </c>
      <c r="BA804" t="s">
        <v>74</v>
      </c>
      <c r="BB804">
        <v>150</v>
      </c>
      <c r="BC804">
        <v>162</v>
      </c>
      <c r="BD804" t="s">
        <v>74</v>
      </c>
      <c r="BE804" t="s">
        <v>10487</v>
      </c>
      <c r="BF804" t="str">
        <f>HYPERLINK("http://dx.doi.org/10.1016/j.gr.2007.07.004","http://dx.doi.org/10.1016/j.gr.2007.07.004")</f>
        <v>http://dx.doi.org/10.1016/j.gr.2007.07.004</v>
      </c>
      <c r="BG804" t="s">
        <v>74</v>
      </c>
      <c r="BH804" t="s">
        <v>74</v>
      </c>
      <c r="BI804">
        <v>13</v>
      </c>
      <c r="BJ804" t="s">
        <v>3093</v>
      </c>
      <c r="BK804" t="s">
        <v>99</v>
      </c>
      <c r="BL804" t="s">
        <v>3094</v>
      </c>
      <c r="BM804" t="s">
        <v>10488</v>
      </c>
      <c r="BN804" t="s">
        <v>74</v>
      </c>
      <c r="BO804" t="s">
        <v>3033</v>
      </c>
      <c r="BP804" t="s">
        <v>74</v>
      </c>
      <c r="BQ804" t="s">
        <v>74</v>
      </c>
      <c r="BR804" t="s">
        <v>101</v>
      </c>
      <c r="BS804" t="s">
        <v>10489</v>
      </c>
      <c r="BT804" t="str">
        <f>HYPERLINK("https%3A%2F%2Fwww.webofscience.com%2Fwos%2Fwoscc%2Ffull-record%2FWOS:000254238400002","View Full Record in Web of Science")</f>
        <v>View Full Record in Web of Science</v>
      </c>
    </row>
    <row r="805" spans="1:72" x14ac:dyDescent="0.15">
      <c r="A805" t="s">
        <v>72</v>
      </c>
      <c r="B805" t="s">
        <v>10490</v>
      </c>
      <c r="C805" t="s">
        <v>74</v>
      </c>
      <c r="D805" t="s">
        <v>74</v>
      </c>
      <c r="E805" t="s">
        <v>74</v>
      </c>
      <c r="F805" t="s">
        <v>10491</v>
      </c>
      <c r="G805" t="s">
        <v>74</v>
      </c>
      <c r="H805" t="s">
        <v>74</v>
      </c>
      <c r="I805" t="s">
        <v>10492</v>
      </c>
      <c r="J805" t="s">
        <v>10470</v>
      </c>
      <c r="K805" t="s">
        <v>74</v>
      </c>
      <c r="L805" t="s">
        <v>74</v>
      </c>
      <c r="M805" t="s">
        <v>78</v>
      </c>
      <c r="N805" t="s">
        <v>3318</v>
      </c>
      <c r="O805" t="s">
        <v>10471</v>
      </c>
      <c r="P805" t="s">
        <v>10472</v>
      </c>
      <c r="Q805" t="s">
        <v>10473</v>
      </c>
      <c r="R805" t="s">
        <v>74</v>
      </c>
      <c r="S805" t="s">
        <v>74</v>
      </c>
      <c r="T805" t="s">
        <v>10493</v>
      </c>
      <c r="U805" t="s">
        <v>10494</v>
      </c>
      <c r="V805" t="s">
        <v>10495</v>
      </c>
      <c r="W805" t="s">
        <v>10496</v>
      </c>
      <c r="X805" t="s">
        <v>10497</v>
      </c>
      <c r="Y805" t="s">
        <v>10498</v>
      </c>
      <c r="Z805" t="s">
        <v>10499</v>
      </c>
      <c r="AA805" t="s">
        <v>74</v>
      </c>
      <c r="AB805" t="s">
        <v>74</v>
      </c>
      <c r="AC805" t="s">
        <v>74</v>
      </c>
      <c r="AD805" t="s">
        <v>74</v>
      </c>
      <c r="AE805" t="s">
        <v>74</v>
      </c>
      <c r="AF805" t="s">
        <v>74</v>
      </c>
      <c r="AG805">
        <v>39</v>
      </c>
      <c r="AH805">
        <v>30</v>
      </c>
      <c r="AI805">
        <v>32</v>
      </c>
      <c r="AJ805">
        <v>0</v>
      </c>
      <c r="AK805">
        <v>7</v>
      </c>
      <c r="AL805" t="s">
        <v>3257</v>
      </c>
      <c r="AM805" t="s">
        <v>3258</v>
      </c>
      <c r="AN805" t="s">
        <v>3259</v>
      </c>
      <c r="AO805" t="s">
        <v>10483</v>
      </c>
      <c r="AP805" t="s">
        <v>10484</v>
      </c>
      <c r="AQ805" t="s">
        <v>74</v>
      </c>
      <c r="AR805" t="s">
        <v>10485</v>
      </c>
      <c r="AS805" t="s">
        <v>10486</v>
      </c>
      <c r="AT805" t="s">
        <v>9967</v>
      </c>
      <c r="AU805">
        <v>2008</v>
      </c>
      <c r="AV805">
        <v>13</v>
      </c>
      <c r="AW805">
        <v>2</v>
      </c>
      <c r="AX805" t="s">
        <v>74</v>
      </c>
      <c r="AY805" t="s">
        <v>74</v>
      </c>
      <c r="AZ805" t="s">
        <v>74</v>
      </c>
      <c r="BA805" t="s">
        <v>74</v>
      </c>
      <c r="BB805">
        <v>250</v>
      </c>
      <c r="BC805">
        <v>258</v>
      </c>
      <c r="BD805" t="s">
        <v>74</v>
      </c>
      <c r="BE805" t="s">
        <v>10500</v>
      </c>
      <c r="BF805" t="str">
        <f>HYPERLINK("http://dx.doi.org/10.1016/j.gr.2007.07.001","http://dx.doi.org/10.1016/j.gr.2007.07.001")</f>
        <v>http://dx.doi.org/10.1016/j.gr.2007.07.001</v>
      </c>
      <c r="BG805" t="s">
        <v>74</v>
      </c>
      <c r="BH805" t="s">
        <v>74</v>
      </c>
      <c r="BI805">
        <v>9</v>
      </c>
      <c r="BJ805" t="s">
        <v>3093</v>
      </c>
      <c r="BK805" t="s">
        <v>99</v>
      </c>
      <c r="BL805" t="s">
        <v>3094</v>
      </c>
      <c r="BM805" t="s">
        <v>10488</v>
      </c>
      <c r="BN805" t="s">
        <v>74</v>
      </c>
      <c r="BO805" t="s">
        <v>74</v>
      </c>
      <c r="BP805" t="s">
        <v>74</v>
      </c>
      <c r="BQ805" t="s">
        <v>74</v>
      </c>
      <c r="BR805" t="s">
        <v>101</v>
      </c>
      <c r="BS805" t="s">
        <v>10501</v>
      </c>
      <c r="BT805" t="str">
        <f>HYPERLINK("https%3A%2F%2Fwww.webofscience.com%2Fwos%2Fwoscc%2Ffull-record%2FWOS:000254238400010","View Full Record in Web of Science")</f>
        <v>View Full Record in Web of Science</v>
      </c>
    </row>
    <row r="806" spans="1:72" x14ac:dyDescent="0.15">
      <c r="A806" t="s">
        <v>72</v>
      </c>
      <c r="B806" t="s">
        <v>10502</v>
      </c>
      <c r="C806" t="s">
        <v>74</v>
      </c>
      <c r="D806" t="s">
        <v>74</v>
      </c>
      <c r="E806" t="s">
        <v>74</v>
      </c>
      <c r="F806" t="s">
        <v>10503</v>
      </c>
      <c r="G806" t="s">
        <v>74</v>
      </c>
      <c r="H806" t="s">
        <v>74</v>
      </c>
      <c r="I806" t="s">
        <v>10504</v>
      </c>
      <c r="J806" t="s">
        <v>10470</v>
      </c>
      <c r="K806" t="s">
        <v>74</v>
      </c>
      <c r="L806" t="s">
        <v>74</v>
      </c>
      <c r="M806" t="s">
        <v>78</v>
      </c>
      <c r="N806" t="s">
        <v>3318</v>
      </c>
      <c r="O806" t="s">
        <v>10471</v>
      </c>
      <c r="P806" t="s">
        <v>10472</v>
      </c>
      <c r="Q806" t="s">
        <v>10473</v>
      </c>
      <c r="R806" t="s">
        <v>74</v>
      </c>
      <c r="S806" t="s">
        <v>74</v>
      </c>
      <c r="T806" t="s">
        <v>10505</v>
      </c>
      <c r="U806" t="s">
        <v>10506</v>
      </c>
      <c r="V806" t="s">
        <v>10507</v>
      </c>
      <c r="W806" t="s">
        <v>10508</v>
      </c>
      <c r="X806" t="s">
        <v>10509</v>
      </c>
      <c r="Y806" t="s">
        <v>10510</v>
      </c>
      <c r="Z806" t="s">
        <v>10511</v>
      </c>
      <c r="AA806" t="s">
        <v>10512</v>
      </c>
      <c r="AB806" t="s">
        <v>10513</v>
      </c>
      <c r="AC806" t="s">
        <v>74</v>
      </c>
      <c r="AD806" t="s">
        <v>74</v>
      </c>
      <c r="AE806" t="s">
        <v>74</v>
      </c>
      <c r="AF806" t="s">
        <v>74</v>
      </c>
      <c r="AG806">
        <v>58</v>
      </c>
      <c r="AH806">
        <v>60</v>
      </c>
      <c r="AI806">
        <v>68</v>
      </c>
      <c r="AJ806">
        <v>0</v>
      </c>
      <c r="AK806">
        <v>11</v>
      </c>
      <c r="AL806" t="s">
        <v>3933</v>
      </c>
      <c r="AM806" t="s">
        <v>3258</v>
      </c>
      <c r="AN806" t="s">
        <v>3934</v>
      </c>
      <c r="AO806" t="s">
        <v>10483</v>
      </c>
      <c r="AP806" t="s">
        <v>10484</v>
      </c>
      <c r="AQ806" t="s">
        <v>74</v>
      </c>
      <c r="AR806" t="s">
        <v>10485</v>
      </c>
      <c r="AS806" t="s">
        <v>10486</v>
      </c>
      <c r="AT806" t="s">
        <v>9967</v>
      </c>
      <c r="AU806">
        <v>2008</v>
      </c>
      <c r="AV806">
        <v>13</v>
      </c>
      <c r="AW806">
        <v>2</v>
      </c>
      <c r="AX806" t="s">
        <v>74</v>
      </c>
      <c r="AY806" t="s">
        <v>74</v>
      </c>
      <c r="AZ806" t="s">
        <v>74</v>
      </c>
      <c r="BA806" t="s">
        <v>74</v>
      </c>
      <c r="BB806">
        <v>259</v>
      </c>
      <c r="BC806">
        <v>274</v>
      </c>
      <c r="BD806" t="s">
        <v>74</v>
      </c>
      <c r="BE806" t="s">
        <v>10514</v>
      </c>
      <c r="BF806" t="str">
        <f>HYPERLINK("http://dx.doi.org/10.1016/j.gr.2007.05.003","http://dx.doi.org/10.1016/j.gr.2007.05.003")</f>
        <v>http://dx.doi.org/10.1016/j.gr.2007.05.003</v>
      </c>
      <c r="BG806" t="s">
        <v>74</v>
      </c>
      <c r="BH806" t="s">
        <v>74</v>
      </c>
      <c r="BI806">
        <v>16</v>
      </c>
      <c r="BJ806" t="s">
        <v>3093</v>
      </c>
      <c r="BK806" t="s">
        <v>99</v>
      </c>
      <c r="BL806" t="s">
        <v>3094</v>
      </c>
      <c r="BM806" t="s">
        <v>10488</v>
      </c>
      <c r="BN806" t="s">
        <v>74</v>
      </c>
      <c r="BO806" t="s">
        <v>3311</v>
      </c>
      <c r="BP806" t="s">
        <v>74</v>
      </c>
      <c r="BQ806" t="s">
        <v>74</v>
      </c>
      <c r="BR806" t="s">
        <v>101</v>
      </c>
      <c r="BS806" t="s">
        <v>10515</v>
      </c>
      <c r="BT806" t="str">
        <f>HYPERLINK("https%3A%2F%2Fwww.webofscience.com%2Fwos%2Fwoscc%2Ffull-record%2FWOS:000254238400011","View Full Record in Web of Science")</f>
        <v>View Full Record in Web of Science</v>
      </c>
    </row>
    <row r="807" spans="1:72" x14ac:dyDescent="0.15">
      <c r="A807" t="s">
        <v>72</v>
      </c>
      <c r="B807" t="s">
        <v>10516</v>
      </c>
      <c r="C807" t="s">
        <v>74</v>
      </c>
      <c r="D807" t="s">
        <v>74</v>
      </c>
      <c r="E807" t="s">
        <v>74</v>
      </c>
      <c r="F807" t="s">
        <v>10517</v>
      </c>
      <c r="G807" t="s">
        <v>74</v>
      </c>
      <c r="H807" t="s">
        <v>74</v>
      </c>
      <c r="I807" t="s">
        <v>10518</v>
      </c>
      <c r="J807" t="s">
        <v>6536</v>
      </c>
      <c r="K807" t="s">
        <v>74</v>
      </c>
      <c r="L807" t="s">
        <v>74</v>
      </c>
      <c r="M807" t="s">
        <v>78</v>
      </c>
      <c r="N807" t="s">
        <v>2737</v>
      </c>
      <c r="O807" t="s">
        <v>74</v>
      </c>
      <c r="P807" t="s">
        <v>74</v>
      </c>
      <c r="Q807" t="s">
        <v>74</v>
      </c>
      <c r="R807" t="s">
        <v>74</v>
      </c>
      <c r="S807" t="s">
        <v>74</v>
      </c>
      <c r="T807" t="s">
        <v>10519</v>
      </c>
      <c r="U807" t="s">
        <v>10520</v>
      </c>
      <c r="V807" t="s">
        <v>10521</v>
      </c>
      <c r="W807" t="s">
        <v>10522</v>
      </c>
      <c r="X807" t="s">
        <v>10523</v>
      </c>
      <c r="Y807" t="s">
        <v>10524</v>
      </c>
      <c r="Z807" t="s">
        <v>10525</v>
      </c>
      <c r="AA807" t="s">
        <v>10526</v>
      </c>
      <c r="AB807" t="s">
        <v>10527</v>
      </c>
      <c r="AC807" t="s">
        <v>74</v>
      </c>
      <c r="AD807" t="s">
        <v>74</v>
      </c>
      <c r="AE807" t="s">
        <v>74</v>
      </c>
      <c r="AF807" t="s">
        <v>74</v>
      </c>
      <c r="AG807">
        <v>38</v>
      </c>
      <c r="AH807">
        <v>7</v>
      </c>
      <c r="AI807">
        <v>8</v>
      </c>
      <c r="AJ807">
        <v>0</v>
      </c>
      <c r="AK807">
        <v>4</v>
      </c>
      <c r="AL807" t="s">
        <v>4682</v>
      </c>
      <c r="AM807" t="s">
        <v>3008</v>
      </c>
      <c r="AN807" t="s">
        <v>4683</v>
      </c>
      <c r="AO807" t="s">
        <v>6546</v>
      </c>
      <c r="AP807" t="s">
        <v>74</v>
      </c>
      <c r="AQ807" t="s">
        <v>74</v>
      </c>
      <c r="AR807" t="s">
        <v>6547</v>
      </c>
      <c r="AS807" t="s">
        <v>6548</v>
      </c>
      <c r="AT807" t="s">
        <v>9967</v>
      </c>
      <c r="AU807">
        <v>2008</v>
      </c>
      <c r="AV807">
        <v>65</v>
      </c>
      <c r="AW807">
        <v>2</v>
      </c>
      <c r="AX807" t="s">
        <v>74</v>
      </c>
      <c r="AY807" t="s">
        <v>74</v>
      </c>
      <c r="AZ807" t="s">
        <v>74</v>
      </c>
      <c r="BA807" t="s">
        <v>74</v>
      </c>
      <c r="BB807">
        <v>140</v>
      </c>
      <c r="BC807">
        <v>147</v>
      </c>
      <c r="BD807" t="s">
        <v>74</v>
      </c>
      <c r="BE807" t="s">
        <v>10528</v>
      </c>
      <c r="BF807" t="str">
        <f>HYPERLINK("http://dx.doi.org/10.1093/icesjms/fsm186","http://dx.doi.org/10.1093/icesjms/fsm186")</f>
        <v>http://dx.doi.org/10.1093/icesjms/fsm186</v>
      </c>
      <c r="BG807" t="s">
        <v>74</v>
      </c>
      <c r="BH807" t="s">
        <v>74</v>
      </c>
      <c r="BI807">
        <v>8</v>
      </c>
      <c r="BJ807" t="s">
        <v>6550</v>
      </c>
      <c r="BK807" t="s">
        <v>419</v>
      </c>
      <c r="BL807" t="s">
        <v>6550</v>
      </c>
      <c r="BM807" t="s">
        <v>10529</v>
      </c>
      <c r="BN807" t="s">
        <v>74</v>
      </c>
      <c r="BO807" t="s">
        <v>10530</v>
      </c>
      <c r="BP807" t="s">
        <v>74</v>
      </c>
      <c r="BQ807" t="s">
        <v>74</v>
      </c>
      <c r="BR807" t="s">
        <v>101</v>
      </c>
      <c r="BS807" t="s">
        <v>10531</v>
      </c>
      <c r="BT807" t="str">
        <f>HYPERLINK("https%3A%2F%2Fwww.webofscience.com%2Fwos%2Fwoscc%2Ffull-record%2FWOS:000254274200003","View Full Record in Web of Science")</f>
        <v>View Full Record in Web of Science</v>
      </c>
    </row>
    <row r="808" spans="1:72" x14ac:dyDescent="0.15">
      <c r="A808" t="s">
        <v>72</v>
      </c>
      <c r="B808" t="s">
        <v>10532</v>
      </c>
      <c r="C808" t="s">
        <v>74</v>
      </c>
      <c r="D808" t="s">
        <v>74</v>
      </c>
      <c r="E808" t="s">
        <v>74</v>
      </c>
      <c r="F808" t="s">
        <v>10533</v>
      </c>
      <c r="G808" t="s">
        <v>74</v>
      </c>
      <c r="H808" t="s">
        <v>74</v>
      </c>
      <c r="I808" t="s">
        <v>10534</v>
      </c>
      <c r="J808" t="s">
        <v>10535</v>
      </c>
      <c r="K808" t="s">
        <v>74</v>
      </c>
      <c r="L808" t="s">
        <v>74</v>
      </c>
      <c r="M808" t="s">
        <v>78</v>
      </c>
      <c r="N808" t="s">
        <v>2989</v>
      </c>
      <c r="O808" t="s">
        <v>74</v>
      </c>
      <c r="P808" t="s">
        <v>74</v>
      </c>
      <c r="Q808" t="s">
        <v>74</v>
      </c>
      <c r="R808" t="s">
        <v>74</v>
      </c>
      <c r="S808" t="s">
        <v>74</v>
      </c>
      <c r="T808" t="s">
        <v>74</v>
      </c>
      <c r="U808" t="s">
        <v>74</v>
      </c>
      <c r="V808" t="s">
        <v>74</v>
      </c>
      <c r="W808" t="s">
        <v>10536</v>
      </c>
      <c r="X808" t="s">
        <v>10537</v>
      </c>
      <c r="Y808" t="s">
        <v>10538</v>
      </c>
      <c r="Z808" t="s">
        <v>74</v>
      </c>
      <c r="AA808" t="s">
        <v>10539</v>
      </c>
      <c r="AB808" t="s">
        <v>74</v>
      </c>
      <c r="AC808" t="s">
        <v>74</v>
      </c>
      <c r="AD808" t="s">
        <v>74</v>
      </c>
      <c r="AE808" t="s">
        <v>74</v>
      </c>
      <c r="AF808" t="s">
        <v>74</v>
      </c>
      <c r="AG808">
        <v>0</v>
      </c>
      <c r="AH808">
        <v>0</v>
      </c>
      <c r="AI808">
        <v>0</v>
      </c>
      <c r="AJ808">
        <v>0</v>
      </c>
      <c r="AK808">
        <v>1</v>
      </c>
      <c r="AL808" t="s">
        <v>10540</v>
      </c>
      <c r="AM808" t="s">
        <v>10541</v>
      </c>
      <c r="AN808" t="s">
        <v>10542</v>
      </c>
      <c r="AO808" t="s">
        <v>10543</v>
      </c>
      <c r="AP808" t="s">
        <v>74</v>
      </c>
      <c r="AQ808" t="s">
        <v>74</v>
      </c>
      <c r="AR808" t="s">
        <v>10544</v>
      </c>
      <c r="AS808" t="s">
        <v>10545</v>
      </c>
      <c r="AT808" t="s">
        <v>9967</v>
      </c>
      <c r="AU808">
        <v>2008</v>
      </c>
      <c r="AV808">
        <v>37</v>
      </c>
      <c r="AW808">
        <v>1</v>
      </c>
      <c r="AX808" t="s">
        <v>74</v>
      </c>
      <c r="AY808" t="s">
        <v>74</v>
      </c>
      <c r="AZ808" t="s">
        <v>74</v>
      </c>
      <c r="BA808" t="s">
        <v>74</v>
      </c>
      <c r="BB808">
        <v>9</v>
      </c>
      <c r="BC808">
        <v>10</v>
      </c>
      <c r="BD808" t="s">
        <v>74</v>
      </c>
      <c r="BE808" t="s">
        <v>74</v>
      </c>
      <c r="BF808" t="s">
        <v>74</v>
      </c>
      <c r="BG808" t="s">
        <v>74</v>
      </c>
      <c r="BH808" t="s">
        <v>74</v>
      </c>
      <c r="BI808">
        <v>2</v>
      </c>
      <c r="BJ808" t="s">
        <v>3447</v>
      </c>
      <c r="BK808" t="s">
        <v>419</v>
      </c>
      <c r="BL808" t="s">
        <v>3447</v>
      </c>
      <c r="BM808" t="s">
        <v>10546</v>
      </c>
      <c r="BN808" t="s">
        <v>74</v>
      </c>
      <c r="BO808" t="s">
        <v>74</v>
      </c>
      <c r="BP808" t="s">
        <v>74</v>
      </c>
      <c r="BQ808" t="s">
        <v>74</v>
      </c>
      <c r="BR808" t="s">
        <v>101</v>
      </c>
      <c r="BS808" t="s">
        <v>10547</v>
      </c>
      <c r="BT808" t="str">
        <f>HYPERLINK("https%3A%2F%2Fwww.webofscience.com%2Fwos%2Fwoscc%2Ffull-record%2FWOS:000255320700002","View Full Record in Web of Science")</f>
        <v>View Full Record in Web of Science</v>
      </c>
    </row>
    <row r="809" spans="1:72" x14ac:dyDescent="0.15">
      <c r="A809" t="s">
        <v>72</v>
      </c>
      <c r="B809" t="s">
        <v>10548</v>
      </c>
      <c r="C809" t="s">
        <v>74</v>
      </c>
      <c r="D809" t="s">
        <v>74</v>
      </c>
      <c r="E809" t="s">
        <v>74</v>
      </c>
      <c r="F809" t="s">
        <v>10549</v>
      </c>
      <c r="G809" t="s">
        <v>74</v>
      </c>
      <c r="H809" t="s">
        <v>74</v>
      </c>
      <c r="I809" t="s">
        <v>10550</v>
      </c>
      <c r="J809" t="s">
        <v>10535</v>
      </c>
      <c r="K809" t="s">
        <v>74</v>
      </c>
      <c r="L809" t="s">
        <v>74</v>
      </c>
      <c r="M809" t="s">
        <v>78</v>
      </c>
      <c r="N809" t="s">
        <v>2737</v>
      </c>
      <c r="O809" t="s">
        <v>74</v>
      </c>
      <c r="P809" t="s">
        <v>74</v>
      </c>
      <c r="Q809" t="s">
        <v>74</v>
      </c>
      <c r="R809" t="s">
        <v>74</v>
      </c>
      <c r="S809" t="s">
        <v>74</v>
      </c>
      <c r="T809" t="s">
        <v>10551</v>
      </c>
      <c r="U809" t="s">
        <v>10552</v>
      </c>
      <c r="V809" t="s">
        <v>10553</v>
      </c>
      <c r="W809" t="s">
        <v>10554</v>
      </c>
      <c r="X809" t="s">
        <v>10555</v>
      </c>
      <c r="Y809" t="s">
        <v>10556</v>
      </c>
      <c r="Z809" t="s">
        <v>10557</v>
      </c>
      <c r="AA809" t="s">
        <v>10558</v>
      </c>
      <c r="AB809" t="s">
        <v>10559</v>
      </c>
      <c r="AC809" t="s">
        <v>74</v>
      </c>
      <c r="AD809" t="s">
        <v>74</v>
      </c>
      <c r="AE809" t="s">
        <v>74</v>
      </c>
      <c r="AF809" t="s">
        <v>74</v>
      </c>
      <c r="AG809">
        <v>24</v>
      </c>
      <c r="AH809">
        <v>4</v>
      </c>
      <c r="AI809">
        <v>6</v>
      </c>
      <c r="AJ809">
        <v>2</v>
      </c>
      <c r="AK809">
        <v>11</v>
      </c>
      <c r="AL809" t="s">
        <v>10560</v>
      </c>
      <c r="AM809" t="s">
        <v>10541</v>
      </c>
      <c r="AN809" t="s">
        <v>10561</v>
      </c>
      <c r="AO809" t="s">
        <v>10543</v>
      </c>
      <c r="AP809" t="s">
        <v>10562</v>
      </c>
      <c r="AQ809" t="s">
        <v>74</v>
      </c>
      <c r="AR809" t="s">
        <v>10544</v>
      </c>
      <c r="AS809" t="s">
        <v>10545</v>
      </c>
      <c r="AT809" t="s">
        <v>9967</v>
      </c>
      <c r="AU809">
        <v>2008</v>
      </c>
      <c r="AV809">
        <v>37</v>
      </c>
      <c r="AW809">
        <v>1</v>
      </c>
      <c r="AX809" t="s">
        <v>74</v>
      </c>
      <c r="AY809" t="s">
        <v>74</v>
      </c>
      <c r="AZ809" t="s">
        <v>74</v>
      </c>
      <c r="BA809" t="s">
        <v>74</v>
      </c>
      <c r="BB809">
        <v>35</v>
      </c>
      <c r="BC809">
        <v>39</v>
      </c>
      <c r="BD809" t="s">
        <v>74</v>
      </c>
      <c r="BE809" t="s">
        <v>74</v>
      </c>
      <c r="BF809" t="s">
        <v>74</v>
      </c>
      <c r="BG809" t="s">
        <v>74</v>
      </c>
      <c r="BH809" t="s">
        <v>74</v>
      </c>
      <c r="BI809">
        <v>5</v>
      </c>
      <c r="BJ809" t="s">
        <v>3447</v>
      </c>
      <c r="BK809" t="s">
        <v>419</v>
      </c>
      <c r="BL809" t="s">
        <v>3447</v>
      </c>
      <c r="BM809" t="s">
        <v>10546</v>
      </c>
      <c r="BN809" t="s">
        <v>74</v>
      </c>
      <c r="BO809" t="s">
        <v>74</v>
      </c>
      <c r="BP809" t="s">
        <v>74</v>
      </c>
      <c r="BQ809" t="s">
        <v>74</v>
      </c>
      <c r="BR809" t="s">
        <v>101</v>
      </c>
      <c r="BS809" t="s">
        <v>10563</v>
      </c>
      <c r="BT809" t="str">
        <f>HYPERLINK("https%3A%2F%2Fwww.webofscience.com%2Fwos%2Fwoscc%2Ffull-record%2FWOS:000255320700004","View Full Record in Web of Science")</f>
        <v>View Full Record in Web of Science</v>
      </c>
    </row>
    <row r="810" spans="1:72" x14ac:dyDescent="0.15">
      <c r="A810" t="s">
        <v>72</v>
      </c>
      <c r="B810" t="s">
        <v>10564</v>
      </c>
      <c r="C810" t="s">
        <v>74</v>
      </c>
      <c r="D810" t="s">
        <v>74</v>
      </c>
      <c r="E810" t="s">
        <v>74</v>
      </c>
      <c r="F810" t="s">
        <v>10565</v>
      </c>
      <c r="G810" t="s">
        <v>74</v>
      </c>
      <c r="H810" t="s">
        <v>74</v>
      </c>
      <c r="I810" t="s">
        <v>10566</v>
      </c>
      <c r="J810" t="s">
        <v>10535</v>
      </c>
      <c r="K810" t="s">
        <v>74</v>
      </c>
      <c r="L810" t="s">
        <v>74</v>
      </c>
      <c r="M810" t="s">
        <v>78</v>
      </c>
      <c r="N810" t="s">
        <v>2737</v>
      </c>
      <c r="O810" t="s">
        <v>74</v>
      </c>
      <c r="P810" t="s">
        <v>74</v>
      </c>
      <c r="Q810" t="s">
        <v>74</v>
      </c>
      <c r="R810" t="s">
        <v>74</v>
      </c>
      <c r="S810" t="s">
        <v>74</v>
      </c>
      <c r="T810" t="s">
        <v>10567</v>
      </c>
      <c r="U810" t="s">
        <v>10568</v>
      </c>
      <c r="V810" t="s">
        <v>10569</v>
      </c>
      <c r="W810" t="s">
        <v>10570</v>
      </c>
      <c r="X810" t="s">
        <v>10537</v>
      </c>
      <c r="Y810" t="s">
        <v>10571</v>
      </c>
      <c r="Z810" t="s">
        <v>10572</v>
      </c>
      <c r="AA810" t="s">
        <v>74</v>
      </c>
      <c r="AB810" t="s">
        <v>10573</v>
      </c>
      <c r="AC810" t="s">
        <v>74</v>
      </c>
      <c r="AD810" t="s">
        <v>74</v>
      </c>
      <c r="AE810" t="s">
        <v>74</v>
      </c>
      <c r="AF810" t="s">
        <v>74</v>
      </c>
      <c r="AG810">
        <v>22</v>
      </c>
      <c r="AH810">
        <v>0</v>
      </c>
      <c r="AI810">
        <v>0</v>
      </c>
      <c r="AJ810">
        <v>0</v>
      </c>
      <c r="AK810">
        <v>1</v>
      </c>
      <c r="AL810" t="s">
        <v>10560</v>
      </c>
      <c r="AM810" t="s">
        <v>10541</v>
      </c>
      <c r="AN810" t="s">
        <v>10561</v>
      </c>
      <c r="AO810" t="s">
        <v>10543</v>
      </c>
      <c r="AP810" t="s">
        <v>10562</v>
      </c>
      <c r="AQ810" t="s">
        <v>74</v>
      </c>
      <c r="AR810" t="s">
        <v>10544</v>
      </c>
      <c r="AS810" t="s">
        <v>10545</v>
      </c>
      <c r="AT810" t="s">
        <v>9967</v>
      </c>
      <c r="AU810">
        <v>2008</v>
      </c>
      <c r="AV810">
        <v>37</v>
      </c>
      <c r="AW810">
        <v>1</v>
      </c>
      <c r="AX810" t="s">
        <v>74</v>
      </c>
      <c r="AY810" t="s">
        <v>74</v>
      </c>
      <c r="AZ810" t="s">
        <v>74</v>
      </c>
      <c r="BA810" t="s">
        <v>74</v>
      </c>
      <c r="BB810">
        <v>47</v>
      </c>
      <c r="BC810">
        <v>54</v>
      </c>
      <c r="BD810" t="s">
        <v>74</v>
      </c>
      <c r="BE810" t="s">
        <v>74</v>
      </c>
      <c r="BF810" t="s">
        <v>74</v>
      </c>
      <c r="BG810" t="s">
        <v>74</v>
      </c>
      <c r="BH810" t="s">
        <v>74</v>
      </c>
      <c r="BI810">
        <v>8</v>
      </c>
      <c r="BJ810" t="s">
        <v>3447</v>
      </c>
      <c r="BK810" t="s">
        <v>419</v>
      </c>
      <c r="BL810" t="s">
        <v>3447</v>
      </c>
      <c r="BM810" t="s">
        <v>10546</v>
      </c>
      <c r="BN810" t="s">
        <v>74</v>
      </c>
      <c r="BO810" t="s">
        <v>74</v>
      </c>
      <c r="BP810" t="s">
        <v>74</v>
      </c>
      <c r="BQ810" t="s">
        <v>74</v>
      </c>
      <c r="BR810" t="s">
        <v>101</v>
      </c>
      <c r="BS810" t="s">
        <v>10574</v>
      </c>
      <c r="BT810" t="str">
        <f>HYPERLINK("https%3A%2F%2Fwww.webofscience.com%2Fwos%2Fwoscc%2Ffull-record%2FWOS:000255320700006","View Full Record in Web of Science")</f>
        <v>View Full Record in Web of Science</v>
      </c>
    </row>
    <row r="811" spans="1:72" x14ac:dyDescent="0.15">
      <c r="A811" t="s">
        <v>72</v>
      </c>
      <c r="B811" t="s">
        <v>10575</v>
      </c>
      <c r="C811" t="s">
        <v>74</v>
      </c>
      <c r="D811" t="s">
        <v>74</v>
      </c>
      <c r="E811" t="s">
        <v>74</v>
      </c>
      <c r="F811" t="s">
        <v>10576</v>
      </c>
      <c r="G811" t="s">
        <v>74</v>
      </c>
      <c r="H811" t="s">
        <v>74</v>
      </c>
      <c r="I811" t="s">
        <v>10577</v>
      </c>
      <c r="J811" t="s">
        <v>10535</v>
      </c>
      <c r="K811" t="s">
        <v>74</v>
      </c>
      <c r="L811" t="s">
        <v>74</v>
      </c>
      <c r="M811" t="s">
        <v>78</v>
      </c>
      <c r="N811" t="s">
        <v>2737</v>
      </c>
      <c r="O811" t="s">
        <v>74</v>
      </c>
      <c r="P811" t="s">
        <v>74</v>
      </c>
      <c r="Q811" t="s">
        <v>74</v>
      </c>
      <c r="R811" t="s">
        <v>74</v>
      </c>
      <c r="S811" t="s">
        <v>74</v>
      </c>
      <c r="T811" t="s">
        <v>10578</v>
      </c>
      <c r="U811" t="s">
        <v>10579</v>
      </c>
      <c r="V811" t="s">
        <v>10580</v>
      </c>
      <c r="W811" t="s">
        <v>10581</v>
      </c>
      <c r="X811" t="s">
        <v>10582</v>
      </c>
      <c r="Y811" t="s">
        <v>10556</v>
      </c>
      <c r="Z811" t="s">
        <v>10557</v>
      </c>
      <c r="AA811" t="s">
        <v>10583</v>
      </c>
      <c r="AB811" t="s">
        <v>10584</v>
      </c>
      <c r="AC811" t="s">
        <v>74</v>
      </c>
      <c r="AD811" t="s">
        <v>74</v>
      </c>
      <c r="AE811" t="s">
        <v>74</v>
      </c>
      <c r="AF811" t="s">
        <v>74</v>
      </c>
      <c r="AG811">
        <v>29</v>
      </c>
      <c r="AH811">
        <v>1</v>
      </c>
      <c r="AI811">
        <v>1</v>
      </c>
      <c r="AJ811">
        <v>1</v>
      </c>
      <c r="AK811">
        <v>11</v>
      </c>
      <c r="AL811" t="s">
        <v>10540</v>
      </c>
      <c r="AM811" t="s">
        <v>10541</v>
      </c>
      <c r="AN811" t="s">
        <v>10542</v>
      </c>
      <c r="AO811" t="s">
        <v>10543</v>
      </c>
      <c r="AP811" t="s">
        <v>74</v>
      </c>
      <c r="AQ811" t="s">
        <v>74</v>
      </c>
      <c r="AR811" t="s">
        <v>10544</v>
      </c>
      <c r="AS811" t="s">
        <v>10545</v>
      </c>
      <c r="AT811" t="s">
        <v>9967</v>
      </c>
      <c r="AU811">
        <v>2008</v>
      </c>
      <c r="AV811">
        <v>37</v>
      </c>
      <c r="AW811">
        <v>1</v>
      </c>
      <c r="AX811" t="s">
        <v>74</v>
      </c>
      <c r="AY811" t="s">
        <v>74</v>
      </c>
      <c r="AZ811" t="s">
        <v>74</v>
      </c>
      <c r="BA811" t="s">
        <v>74</v>
      </c>
      <c r="BB811">
        <v>55</v>
      </c>
      <c r="BC811">
        <v>61</v>
      </c>
      <c r="BD811" t="s">
        <v>74</v>
      </c>
      <c r="BE811" t="s">
        <v>74</v>
      </c>
      <c r="BF811" t="s">
        <v>74</v>
      </c>
      <c r="BG811" t="s">
        <v>74</v>
      </c>
      <c r="BH811" t="s">
        <v>74</v>
      </c>
      <c r="BI811">
        <v>7</v>
      </c>
      <c r="BJ811" t="s">
        <v>3447</v>
      </c>
      <c r="BK811" t="s">
        <v>419</v>
      </c>
      <c r="BL811" t="s">
        <v>3447</v>
      </c>
      <c r="BM811" t="s">
        <v>10546</v>
      </c>
      <c r="BN811" t="s">
        <v>74</v>
      </c>
      <c r="BO811" t="s">
        <v>74</v>
      </c>
      <c r="BP811" t="s">
        <v>74</v>
      </c>
      <c r="BQ811" t="s">
        <v>74</v>
      </c>
      <c r="BR811" t="s">
        <v>101</v>
      </c>
      <c r="BS811" t="s">
        <v>10585</v>
      </c>
      <c r="BT811" t="str">
        <f>HYPERLINK("https%3A%2F%2Fwww.webofscience.com%2Fwos%2Fwoscc%2Ffull-record%2FWOS:000255320700007","View Full Record in Web of Science")</f>
        <v>View Full Record in Web of Science</v>
      </c>
    </row>
    <row r="812" spans="1:72" x14ac:dyDescent="0.15">
      <c r="A812" t="s">
        <v>72</v>
      </c>
      <c r="B812" t="s">
        <v>10586</v>
      </c>
      <c r="C812" t="s">
        <v>74</v>
      </c>
      <c r="D812" t="s">
        <v>74</v>
      </c>
      <c r="E812" t="s">
        <v>74</v>
      </c>
      <c r="F812" t="s">
        <v>10587</v>
      </c>
      <c r="G812" t="s">
        <v>74</v>
      </c>
      <c r="H812" t="s">
        <v>74</v>
      </c>
      <c r="I812" t="s">
        <v>10588</v>
      </c>
      <c r="J812" t="s">
        <v>10535</v>
      </c>
      <c r="K812" t="s">
        <v>74</v>
      </c>
      <c r="L812" t="s">
        <v>74</v>
      </c>
      <c r="M812" t="s">
        <v>78</v>
      </c>
      <c r="N812" t="s">
        <v>2737</v>
      </c>
      <c r="O812" t="s">
        <v>74</v>
      </c>
      <c r="P812" t="s">
        <v>74</v>
      </c>
      <c r="Q812" t="s">
        <v>74</v>
      </c>
      <c r="R812" t="s">
        <v>74</v>
      </c>
      <c r="S812" t="s">
        <v>74</v>
      </c>
      <c r="T812" t="s">
        <v>10589</v>
      </c>
      <c r="U812" t="s">
        <v>10590</v>
      </c>
      <c r="V812" t="s">
        <v>10591</v>
      </c>
      <c r="W812" t="s">
        <v>10592</v>
      </c>
      <c r="X812" t="s">
        <v>10582</v>
      </c>
      <c r="Y812" t="s">
        <v>7179</v>
      </c>
      <c r="Z812" t="s">
        <v>10593</v>
      </c>
      <c r="AA812" t="s">
        <v>74</v>
      </c>
      <c r="AB812" t="s">
        <v>10594</v>
      </c>
      <c r="AC812" t="s">
        <v>74</v>
      </c>
      <c r="AD812" t="s">
        <v>74</v>
      </c>
      <c r="AE812" t="s">
        <v>74</v>
      </c>
      <c r="AF812" t="s">
        <v>74</v>
      </c>
      <c r="AG812">
        <v>59</v>
      </c>
      <c r="AH812">
        <v>0</v>
      </c>
      <c r="AI812">
        <v>1</v>
      </c>
      <c r="AJ812">
        <v>0</v>
      </c>
      <c r="AK812">
        <v>5</v>
      </c>
      <c r="AL812" t="s">
        <v>10560</v>
      </c>
      <c r="AM812" t="s">
        <v>10541</v>
      </c>
      <c r="AN812" t="s">
        <v>10561</v>
      </c>
      <c r="AO812" t="s">
        <v>10543</v>
      </c>
      <c r="AP812" t="s">
        <v>10562</v>
      </c>
      <c r="AQ812" t="s">
        <v>74</v>
      </c>
      <c r="AR812" t="s">
        <v>10544</v>
      </c>
      <c r="AS812" t="s">
        <v>10545</v>
      </c>
      <c r="AT812" t="s">
        <v>9967</v>
      </c>
      <c r="AU812">
        <v>2008</v>
      </c>
      <c r="AV812">
        <v>37</v>
      </c>
      <c r="AW812">
        <v>1</v>
      </c>
      <c r="AX812" t="s">
        <v>74</v>
      </c>
      <c r="AY812" t="s">
        <v>74</v>
      </c>
      <c r="AZ812" t="s">
        <v>74</v>
      </c>
      <c r="BA812" t="s">
        <v>74</v>
      </c>
      <c r="BB812">
        <v>77</v>
      </c>
      <c r="BC812">
        <v>85</v>
      </c>
      <c r="BD812" t="s">
        <v>74</v>
      </c>
      <c r="BE812" t="s">
        <v>74</v>
      </c>
      <c r="BF812" t="s">
        <v>74</v>
      </c>
      <c r="BG812" t="s">
        <v>74</v>
      </c>
      <c r="BH812" t="s">
        <v>74</v>
      </c>
      <c r="BI812">
        <v>9</v>
      </c>
      <c r="BJ812" t="s">
        <v>3447</v>
      </c>
      <c r="BK812" t="s">
        <v>419</v>
      </c>
      <c r="BL812" t="s">
        <v>3447</v>
      </c>
      <c r="BM812" t="s">
        <v>10546</v>
      </c>
      <c r="BN812" t="s">
        <v>74</v>
      </c>
      <c r="BO812" t="s">
        <v>74</v>
      </c>
      <c r="BP812" t="s">
        <v>74</v>
      </c>
      <c r="BQ812" t="s">
        <v>74</v>
      </c>
      <c r="BR812" t="s">
        <v>101</v>
      </c>
      <c r="BS812" t="s">
        <v>10595</v>
      </c>
      <c r="BT812" t="str">
        <f>HYPERLINK("https%3A%2F%2Fwww.webofscience.com%2Fwos%2Fwoscc%2Ffull-record%2FWOS:000255320700010","View Full Record in Web of Science")</f>
        <v>View Full Record in Web of Science</v>
      </c>
    </row>
    <row r="813" spans="1:72" x14ac:dyDescent="0.15">
      <c r="A813" t="s">
        <v>72</v>
      </c>
      <c r="B813" t="s">
        <v>10596</v>
      </c>
      <c r="C813" t="s">
        <v>74</v>
      </c>
      <c r="D813" t="s">
        <v>74</v>
      </c>
      <c r="E813" t="s">
        <v>74</v>
      </c>
      <c r="F813" t="s">
        <v>10597</v>
      </c>
      <c r="G813" t="s">
        <v>74</v>
      </c>
      <c r="H813" t="s">
        <v>74</v>
      </c>
      <c r="I813" t="s">
        <v>10598</v>
      </c>
      <c r="J813" t="s">
        <v>10535</v>
      </c>
      <c r="K813" t="s">
        <v>74</v>
      </c>
      <c r="L813" t="s">
        <v>74</v>
      </c>
      <c r="M813" t="s">
        <v>78</v>
      </c>
      <c r="N813" t="s">
        <v>2737</v>
      </c>
      <c r="O813" t="s">
        <v>74</v>
      </c>
      <c r="P813" t="s">
        <v>74</v>
      </c>
      <c r="Q813" t="s">
        <v>74</v>
      </c>
      <c r="R813" t="s">
        <v>74</v>
      </c>
      <c r="S813" t="s">
        <v>74</v>
      </c>
      <c r="T813" t="s">
        <v>10599</v>
      </c>
      <c r="U813" t="s">
        <v>10600</v>
      </c>
      <c r="V813" t="s">
        <v>10601</v>
      </c>
      <c r="W813" t="s">
        <v>10602</v>
      </c>
      <c r="X813" t="s">
        <v>10582</v>
      </c>
      <c r="Y813" t="s">
        <v>7179</v>
      </c>
      <c r="Z813" t="s">
        <v>7180</v>
      </c>
      <c r="AA813" t="s">
        <v>74</v>
      </c>
      <c r="AB813" t="s">
        <v>74</v>
      </c>
      <c r="AC813" t="s">
        <v>74</v>
      </c>
      <c r="AD813" t="s">
        <v>74</v>
      </c>
      <c r="AE813" t="s">
        <v>74</v>
      </c>
      <c r="AF813" t="s">
        <v>74</v>
      </c>
      <c r="AG813">
        <v>11</v>
      </c>
      <c r="AH813">
        <v>1</v>
      </c>
      <c r="AI813">
        <v>1</v>
      </c>
      <c r="AJ813">
        <v>0</v>
      </c>
      <c r="AK813">
        <v>2</v>
      </c>
      <c r="AL813" t="s">
        <v>10540</v>
      </c>
      <c r="AM813" t="s">
        <v>10541</v>
      </c>
      <c r="AN813" t="s">
        <v>10542</v>
      </c>
      <c r="AO813" t="s">
        <v>10543</v>
      </c>
      <c r="AP813" t="s">
        <v>74</v>
      </c>
      <c r="AQ813" t="s">
        <v>74</v>
      </c>
      <c r="AR813" t="s">
        <v>10544</v>
      </c>
      <c r="AS813" t="s">
        <v>10545</v>
      </c>
      <c r="AT813" t="s">
        <v>9967</v>
      </c>
      <c r="AU813">
        <v>2008</v>
      </c>
      <c r="AV813">
        <v>37</v>
      </c>
      <c r="AW813">
        <v>1</v>
      </c>
      <c r="AX813" t="s">
        <v>74</v>
      </c>
      <c r="AY813" t="s">
        <v>74</v>
      </c>
      <c r="AZ813" t="s">
        <v>74</v>
      </c>
      <c r="BA813" t="s">
        <v>74</v>
      </c>
      <c r="BB813">
        <v>86</v>
      </c>
      <c r="BC813">
        <v>92</v>
      </c>
      <c r="BD813" t="s">
        <v>74</v>
      </c>
      <c r="BE813" t="s">
        <v>74</v>
      </c>
      <c r="BF813" t="s">
        <v>74</v>
      </c>
      <c r="BG813" t="s">
        <v>74</v>
      </c>
      <c r="BH813" t="s">
        <v>74</v>
      </c>
      <c r="BI813">
        <v>7</v>
      </c>
      <c r="BJ813" t="s">
        <v>3447</v>
      </c>
      <c r="BK813" t="s">
        <v>419</v>
      </c>
      <c r="BL813" t="s">
        <v>3447</v>
      </c>
      <c r="BM813" t="s">
        <v>10546</v>
      </c>
      <c r="BN813" t="s">
        <v>74</v>
      </c>
      <c r="BO813" t="s">
        <v>74</v>
      </c>
      <c r="BP813" t="s">
        <v>74</v>
      </c>
      <c r="BQ813" t="s">
        <v>74</v>
      </c>
      <c r="BR813" t="s">
        <v>101</v>
      </c>
      <c r="BS813" t="s">
        <v>10603</v>
      </c>
      <c r="BT813" t="str">
        <f>HYPERLINK("https%3A%2F%2Fwww.webofscience.com%2Fwos%2Fwoscc%2Ffull-record%2FWOS:000255320700011","View Full Record in Web of Science")</f>
        <v>View Full Record in Web of Science</v>
      </c>
    </row>
    <row r="814" spans="1:72" x14ac:dyDescent="0.15">
      <c r="A814" t="s">
        <v>72</v>
      </c>
      <c r="B814" t="s">
        <v>10604</v>
      </c>
      <c r="C814" t="s">
        <v>74</v>
      </c>
      <c r="D814" t="s">
        <v>74</v>
      </c>
      <c r="E814" t="s">
        <v>74</v>
      </c>
      <c r="F814" t="s">
        <v>10605</v>
      </c>
      <c r="G814" t="s">
        <v>74</v>
      </c>
      <c r="H814" t="s">
        <v>74</v>
      </c>
      <c r="I814" t="s">
        <v>10606</v>
      </c>
      <c r="J814" t="s">
        <v>10535</v>
      </c>
      <c r="K814" t="s">
        <v>74</v>
      </c>
      <c r="L814" t="s">
        <v>74</v>
      </c>
      <c r="M814" t="s">
        <v>78</v>
      </c>
      <c r="N814" t="s">
        <v>2737</v>
      </c>
      <c r="O814" t="s">
        <v>74</v>
      </c>
      <c r="P814" t="s">
        <v>74</v>
      </c>
      <c r="Q814" t="s">
        <v>74</v>
      </c>
      <c r="R814" t="s">
        <v>74</v>
      </c>
      <c r="S814" t="s">
        <v>74</v>
      </c>
      <c r="T814" t="s">
        <v>10607</v>
      </c>
      <c r="U814" t="s">
        <v>74</v>
      </c>
      <c r="V814" t="s">
        <v>10608</v>
      </c>
      <c r="W814" t="s">
        <v>10609</v>
      </c>
      <c r="X814" t="s">
        <v>10610</v>
      </c>
      <c r="Y814" t="s">
        <v>10611</v>
      </c>
      <c r="Z814" t="s">
        <v>10612</v>
      </c>
      <c r="AA814" t="s">
        <v>74</v>
      </c>
      <c r="AB814" t="s">
        <v>74</v>
      </c>
      <c r="AC814" t="s">
        <v>74</v>
      </c>
      <c r="AD814" t="s">
        <v>74</v>
      </c>
      <c r="AE814" t="s">
        <v>74</v>
      </c>
      <c r="AF814" t="s">
        <v>74</v>
      </c>
      <c r="AG814">
        <v>12</v>
      </c>
      <c r="AH814">
        <v>1</v>
      </c>
      <c r="AI814">
        <v>1</v>
      </c>
      <c r="AJ814">
        <v>0</v>
      </c>
      <c r="AK814">
        <v>1</v>
      </c>
      <c r="AL814" t="s">
        <v>10560</v>
      </c>
      <c r="AM814" t="s">
        <v>10541</v>
      </c>
      <c r="AN814" t="s">
        <v>10561</v>
      </c>
      <c r="AO814" t="s">
        <v>10543</v>
      </c>
      <c r="AP814" t="s">
        <v>10562</v>
      </c>
      <c r="AQ814" t="s">
        <v>74</v>
      </c>
      <c r="AR814" t="s">
        <v>10544</v>
      </c>
      <c r="AS814" t="s">
        <v>10545</v>
      </c>
      <c r="AT814" t="s">
        <v>9967</v>
      </c>
      <c r="AU814">
        <v>2008</v>
      </c>
      <c r="AV814">
        <v>37</v>
      </c>
      <c r="AW814">
        <v>1</v>
      </c>
      <c r="AX814" t="s">
        <v>74</v>
      </c>
      <c r="AY814" t="s">
        <v>74</v>
      </c>
      <c r="AZ814" t="s">
        <v>74</v>
      </c>
      <c r="BA814" t="s">
        <v>74</v>
      </c>
      <c r="BB814">
        <v>93</v>
      </c>
      <c r="BC814">
        <v>98</v>
      </c>
      <c r="BD814" t="s">
        <v>74</v>
      </c>
      <c r="BE814" t="s">
        <v>74</v>
      </c>
      <c r="BF814" t="s">
        <v>74</v>
      </c>
      <c r="BG814" t="s">
        <v>74</v>
      </c>
      <c r="BH814" t="s">
        <v>74</v>
      </c>
      <c r="BI814">
        <v>6</v>
      </c>
      <c r="BJ814" t="s">
        <v>3447</v>
      </c>
      <c r="BK814" t="s">
        <v>419</v>
      </c>
      <c r="BL814" t="s">
        <v>3447</v>
      </c>
      <c r="BM814" t="s">
        <v>10546</v>
      </c>
      <c r="BN814" t="s">
        <v>74</v>
      </c>
      <c r="BO814" t="s">
        <v>74</v>
      </c>
      <c r="BP814" t="s">
        <v>74</v>
      </c>
      <c r="BQ814" t="s">
        <v>74</v>
      </c>
      <c r="BR814" t="s">
        <v>101</v>
      </c>
      <c r="BS814" t="s">
        <v>10613</v>
      </c>
      <c r="BT814" t="str">
        <f>HYPERLINK("https%3A%2F%2Fwww.webofscience.com%2Fwos%2Fwoscc%2Ffull-record%2FWOS:000255320700012","View Full Record in Web of Science")</f>
        <v>View Full Record in Web of Science</v>
      </c>
    </row>
    <row r="815" spans="1:72" x14ac:dyDescent="0.15">
      <c r="A815" t="s">
        <v>72</v>
      </c>
      <c r="B815" t="s">
        <v>10614</v>
      </c>
      <c r="C815" t="s">
        <v>74</v>
      </c>
      <c r="D815" t="s">
        <v>74</v>
      </c>
      <c r="E815" t="s">
        <v>74</v>
      </c>
      <c r="F815" t="s">
        <v>10615</v>
      </c>
      <c r="G815" t="s">
        <v>74</v>
      </c>
      <c r="H815" t="s">
        <v>74</v>
      </c>
      <c r="I815" t="s">
        <v>10616</v>
      </c>
      <c r="J815" t="s">
        <v>10535</v>
      </c>
      <c r="K815" t="s">
        <v>74</v>
      </c>
      <c r="L815" t="s">
        <v>74</v>
      </c>
      <c r="M815" t="s">
        <v>78</v>
      </c>
      <c r="N815" t="s">
        <v>2737</v>
      </c>
      <c r="O815" t="s">
        <v>74</v>
      </c>
      <c r="P815" t="s">
        <v>74</v>
      </c>
      <c r="Q815" t="s">
        <v>74</v>
      </c>
      <c r="R815" t="s">
        <v>74</v>
      </c>
      <c r="S815" t="s">
        <v>74</v>
      </c>
      <c r="T815" t="s">
        <v>10617</v>
      </c>
      <c r="U815" t="s">
        <v>10618</v>
      </c>
      <c r="V815" t="s">
        <v>10619</v>
      </c>
      <c r="W815" t="s">
        <v>10620</v>
      </c>
      <c r="X815" t="s">
        <v>10621</v>
      </c>
      <c r="Y815" t="s">
        <v>10622</v>
      </c>
      <c r="Z815" t="s">
        <v>10623</v>
      </c>
      <c r="AA815" t="s">
        <v>74</v>
      </c>
      <c r="AB815" t="s">
        <v>74</v>
      </c>
      <c r="AC815" t="s">
        <v>74</v>
      </c>
      <c r="AD815" t="s">
        <v>74</v>
      </c>
      <c r="AE815" t="s">
        <v>74</v>
      </c>
      <c r="AF815" t="s">
        <v>74</v>
      </c>
      <c r="AG815">
        <v>15</v>
      </c>
      <c r="AH815">
        <v>1</v>
      </c>
      <c r="AI815">
        <v>1</v>
      </c>
      <c r="AJ815">
        <v>0</v>
      </c>
      <c r="AK815">
        <v>2</v>
      </c>
      <c r="AL815" t="s">
        <v>10540</v>
      </c>
      <c r="AM815" t="s">
        <v>10541</v>
      </c>
      <c r="AN815" t="s">
        <v>10542</v>
      </c>
      <c r="AO815" t="s">
        <v>10543</v>
      </c>
      <c r="AP815" t="s">
        <v>74</v>
      </c>
      <c r="AQ815" t="s">
        <v>74</v>
      </c>
      <c r="AR815" t="s">
        <v>10544</v>
      </c>
      <c r="AS815" t="s">
        <v>10545</v>
      </c>
      <c r="AT815" t="s">
        <v>9967</v>
      </c>
      <c r="AU815">
        <v>2008</v>
      </c>
      <c r="AV815">
        <v>37</v>
      </c>
      <c r="AW815">
        <v>1</v>
      </c>
      <c r="AX815" t="s">
        <v>74</v>
      </c>
      <c r="AY815" t="s">
        <v>74</v>
      </c>
      <c r="AZ815" t="s">
        <v>74</v>
      </c>
      <c r="BA815" t="s">
        <v>74</v>
      </c>
      <c r="BB815">
        <v>99</v>
      </c>
      <c r="BC815">
        <v>103</v>
      </c>
      <c r="BD815" t="s">
        <v>74</v>
      </c>
      <c r="BE815" t="s">
        <v>74</v>
      </c>
      <c r="BF815" t="s">
        <v>74</v>
      </c>
      <c r="BG815" t="s">
        <v>74</v>
      </c>
      <c r="BH815" t="s">
        <v>74</v>
      </c>
      <c r="BI815">
        <v>5</v>
      </c>
      <c r="BJ815" t="s">
        <v>3447</v>
      </c>
      <c r="BK815" t="s">
        <v>419</v>
      </c>
      <c r="BL815" t="s">
        <v>3447</v>
      </c>
      <c r="BM815" t="s">
        <v>10546</v>
      </c>
      <c r="BN815" t="s">
        <v>74</v>
      </c>
      <c r="BO815" t="s">
        <v>74</v>
      </c>
      <c r="BP815" t="s">
        <v>74</v>
      </c>
      <c r="BQ815" t="s">
        <v>74</v>
      </c>
      <c r="BR815" t="s">
        <v>101</v>
      </c>
      <c r="BS815" t="s">
        <v>10624</v>
      </c>
      <c r="BT815" t="str">
        <f>HYPERLINK("https%3A%2F%2Fwww.webofscience.com%2Fwos%2Fwoscc%2Ffull-record%2FWOS:000255320700013","View Full Record in Web of Science")</f>
        <v>View Full Record in Web of Science</v>
      </c>
    </row>
    <row r="816" spans="1:72" x14ac:dyDescent="0.15">
      <c r="A816" t="s">
        <v>72</v>
      </c>
      <c r="B816" t="s">
        <v>10625</v>
      </c>
      <c r="C816" t="s">
        <v>74</v>
      </c>
      <c r="D816" t="s">
        <v>74</v>
      </c>
      <c r="E816" t="s">
        <v>74</v>
      </c>
      <c r="F816" t="s">
        <v>10626</v>
      </c>
      <c r="G816" t="s">
        <v>74</v>
      </c>
      <c r="H816" t="s">
        <v>74</v>
      </c>
      <c r="I816" t="s">
        <v>10627</v>
      </c>
      <c r="J816" t="s">
        <v>10628</v>
      </c>
      <c r="K816" t="s">
        <v>74</v>
      </c>
      <c r="L816" t="s">
        <v>74</v>
      </c>
      <c r="M816" t="s">
        <v>78</v>
      </c>
      <c r="N816" t="s">
        <v>2737</v>
      </c>
      <c r="O816" t="s">
        <v>74</v>
      </c>
      <c r="P816" t="s">
        <v>74</v>
      </c>
      <c r="Q816" t="s">
        <v>74</v>
      </c>
      <c r="R816" t="s">
        <v>74</v>
      </c>
      <c r="S816" t="s">
        <v>74</v>
      </c>
      <c r="T816" t="s">
        <v>10629</v>
      </c>
      <c r="U816" t="s">
        <v>10630</v>
      </c>
      <c r="V816" t="s">
        <v>10631</v>
      </c>
      <c r="W816" t="s">
        <v>10632</v>
      </c>
      <c r="X816" t="s">
        <v>7088</v>
      </c>
      <c r="Y816" t="s">
        <v>10633</v>
      </c>
      <c r="Z816" t="s">
        <v>10634</v>
      </c>
      <c r="AA816" t="s">
        <v>74</v>
      </c>
      <c r="AB816" t="s">
        <v>10635</v>
      </c>
      <c r="AC816" t="s">
        <v>74</v>
      </c>
      <c r="AD816" t="s">
        <v>74</v>
      </c>
      <c r="AE816" t="s">
        <v>74</v>
      </c>
      <c r="AF816" t="s">
        <v>74</v>
      </c>
      <c r="AG816">
        <v>46</v>
      </c>
      <c r="AH816">
        <v>9</v>
      </c>
      <c r="AI816">
        <v>10</v>
      </c>
      <c r="AJ816">
        <v>1</v>
      </c>
      <c r="AK816">
        <v>1</v>
      </c>
      <c r="AL816" t="s">
        <v>6676</v>
      </c>
      <c r="AM816" t="s">
        <v>3008</v>
      </c>
      <c r="AN816" t="s">
        <v>6677</v>
      </c>
      <c r="AO816" t="s">
        <v>10636</v>
      </c>
      <c r="AP816" t="s">
        <v>74</v>
      </c>
      <c r="AQ816" t="s">
        <v>74</v>
      </c>
      <c r="AR816" t="s">
        <v>10637</v>
      </c>
      <c r="AS816" t="s">
        <v>10638</v>
      </c>
      <c r="AT816" t="s">
        <v>9967</v>
      </c>
      <c r="AU816">
        <v>2008</v>
      </c>
      <c r="AV816">
        <v>17</v>
      </c>
      <c r="AW816">
        <v>1</v>
      </c>
      <c r="AX816" t="s">
        <v>74</v>
      </c>
      <c r="AY816" t="s">
        <v>74</v>
      </c>
      <c r="AZ816" t="s">
        <v>74</v>
      </c>
      <c r="BA816" t="s">
        <v>74</v>
      </c>
      <c r="BB816">
        <v>172</v>
      </c>
      <c r="BC816">
        <v>182</v>
      </c>
      <c r="BD816" t="s">
        <v>74</v>
      </c>
      <c r="BE816" t="s">
        <v>10639</v>
      </c>
      <c r="BF816" t="str">
        <f>HYPERLINK("http://dx.doi.org/10.1111/j.1440-1738.2007.00609.x","http://dx.doi.org/10.1111/j.1440-1738.2007.00609.x")</f>
        <v>http://dx.doi.org/10.1111/j.1440-1738.2007.00609.x</v>
      </c>
      <c r="BG816" t="s">
        <v>74</v>
      </c>
      <c r="BH816" t="s">
        <v>74</v>
      </c>
      <c r="BI816">
        <v>11</v>
      </c>
      <c r="BJ816" t="s">
        <v>3093</v>
      </c>
      <c r="BK816" t="s">
        <v>419</v>
      </c>
      <c r="BL816" t="s">
        <v>3094</v>
      </c>
      <c r="BM816" t="s">
        <v>10640</v>
      </c>
      <c r="BN816" t="s">
        <v>74</v>
      </c>
      <c r="BO816" t="s">
        <v>74</v>
      </c>
      <c r="BP816" t="s">
        <v>74</v>
      </c>
      <c r="BQ816" t="s">
        <v>74</v>
      </c>
      <c r="BR816" t="s">
        <v>101</v>
      </c>
      <c r="BS816" t="s">
        <v>10641</v>
      </c>
      <c r="BT816" t="str">
        <f>HYPERLINK("https%3A%2F%2Fwww.webofscience.com%2Fwos%2Fwoscc%2Ffull-record%2FWOS:000253673900011","View Full Record in Web of Science")</f>
        <v>View Full Record in Web of Science</v>
      </c>
    </row>
    <row r="817" spans="1:72" x14ac:dyDescent="0.15">
      <c r="A817" t="s">
        <v>72</v>
      </c>
      <c r="B817" t="s">
        <v>10642</v>
      </c>
      <c r="C817" t="s">
        <v>74</v>
      </c>
      <c r="D817" t="s">
        <v>74</v>
      </c>
      <c r="E817" t="s">
        <v>74</v>
      </c>
      <c r="F817" t="s">
        <v>10643</v>
      </c>
      <c r="G817" t="s">
        <v>74</v>
      </c>
      <c r="H817" t="s">
        <v>74</v>
      </c>
      <c r="I817" t="s">
        <v>10644</v>
      </c>
      <c r="J817" t="s">
        <v>10645</v>
      </c>
      <c r="K817" t="s">
        <v>74</v>
      </c>
      <c r="L817" t="s">
        <v>74</v>
      </c>
      <c r="M817" t="s">
        <v>78</v>
      </c>
      <c r="N817" t="s">
        <v>2737</v>
      </c>
      <c r="O817" t="s">
        <v>74</v>
      </c>
      <c r="P817" t="s">
        <v>74</v>
      </c>
      <c r="Q817" t="s">
        <v>74</v>
      </c>
      <c r="R817" t="s">
        <v>74</v>
      </c>
      <c r="S817" t="s">
        <v>74</v>
      </c>
      <c r="T817" t="s">
        <v>10646</v>
      </c>
      <c r="U817" t="s">
        <v>10647</v>
      </c>
      <c r="V817" t="s">
        <v>10648</v>
      </c>
      <c r="W817" t="s">
        <v>10649</v>
      </c>
      <c r="X817" t="s">
        <v>10650</v>
      </c>
      <c r="Y817" t="s">
        <v>10651</v>
      </c>
      <c r="Z817" t="s">
        <v>10652</v>
      </c>
      <c r="AA817" t="s">
        <v>10653</v>
      </c>
      <c r="AB817" t="s">
        <v>10654</v>
      </c>
      <c r="AC817" t="s">
        <v>74</v>
      </c>
      <c r="AD817" t="s">
        <v>74</v>
      </c>
      <c r="AE817" t="s">
        <v>74</v>
      </c>
      <c r="AF817" t="s">
        <v>74</v>
      </c>
      <c r="AG817">
        <v>53</v>
      </c>
      <c r="AH817">
        <v>117</v>
      </c>
      <c r="AI817">
        <v>129</v>
      </c>
      <c r="AJ817">
        <v>1</v>
      </c>
      <c r="AK817">
        <v>34</v>
      </c>
      <c r="AL817" t="s">
        <v>3549</v>
      </c>
      <c r="AM817" t="s">
        <v>3550</v>
      </c>
      <c r="AN817" t="s">
        <v>3551</v>
      </c>
      <c r="AO817" t="s">
        <v>10655</v>
      </c>
      <c r="AP817" t="s">
        <v>10656</v>
      </c>
      <c r="AQ817" t="s">
        <v>74</v>
      </c>
      <c r="AR817" t="s">
        <v>10657</v>
      </c>
      <c r="AS817" t="s">
        <v>10658</v>
      </c>
      <c r="AT817" t="s">
        <v>9967</v>
      </c>
      <c r="AU817">
        <v>2008</v>
      </c>
      <c r="AV817">
        <v>2</v>
      </c>
      <c r="AW817">
        <v>3</v>
      </c>
      <c r="AX817" t="s">
        <v>74</v>
      </c>
      <c r="AY817" t="s">
        <v>74</v>
      </c>
      <c r="AZ817" t="s">
        <v>74</v>
      </c>
      <c r="BA817" t="s">
        <v>74</v>
      </c>
      <c r="BB817">
        <v>308</v>
      </c>
      <c r="BC817">
        <v>320</v>
      </c>
      <c r="BD817" t="s">
        <v>74</v>
      </c>
      <c r="BE817" t="s">
        <v>10659</v>
      </c>
      <c r="BF817" t="str">
        <f>HYPERLINK("http://dx.doi.org/10.1038/ismej.2007.104","http://dx.doi.org/10.1038/ismej.2007.104")</f>
        <v>http://dx.doi.org/10.1038/ismej.2007.104</v>
      </c>
      <c r="BG817" t="s">
        <v>74</v>
      </c>
      <c r="BH817" t="s">
        <v>74</v>
      </c>
      <c r="BI817">
        <v>13</v>
      </c>
      <c r="BJ817" t="s">
        <v>10660</v>
      </c>
      <c r="BK817" t="s">
        <v>419</v>
      </c>
      <c r="BL817" t="s">
        <v>10661</v>
      </c>
      <c r="BM817" t="s">
        <v>10662</v>
      </c>
      <c r="BN817">
        <v>18239611</v>
      </c>
      <c r="BO817" t="s">
        <v>3290</v>
      </c>
      <c r="BP817" t="s">
        <v>74</v>
      </c>
      <c r="BQ817" t="s">
        <v>74</v>
      </c>
      <c r="BR817" t="s">
        <v>101</v>
      </c>
      <c r="BS817" t="s">
        <v>10663</v>
      </c>
      <c r="BT817" t="str">
        <f>HYPERLINK("https%3A%2F%2Fwww.webofscience.com%2Fwos%2Fwoscc%2Ffull-record%2FWOS:000254359000008","View Full Record in Web of Science")</f>
        <v>View Full Record in Web of Science</v>
      </c>
    </row>
    <row r="818" spans="1:72" x14ac:dyDescent="0.15">
      <c r="A818" t="s">
        <v>72</v>
      </c>
      <c r="B818" t="s">
        <v>10664</v>
      </c>
      <c r="C818" t="s">
        <v>74</v>
      </c>
      <c r="D818" t="s">
        <v>74</v>
      </c>
      <c r="E818" t="s">
        <v>74</v>
      </c>
      <c r="F818" t="s">
        <v>10665</v>
      </c>
      <c r="G818" t="s">
        <v>74</v>
      </c>
      <c r="H818" t="s">
        <v>74</v>
      </c>
      <c r="I818" t="s">
        <v>10666</v>
      </c>
      <c r="J818" t="s">
        <v>10667</v>
      </c>
      <c r="K818" t="s">
        <v>74</v>
      </c>
      <c r="L818" t="s">
        <v>74</v>
      </c>
      <c r="M818" t="s">
        <v>78</v>
      </c>
      <c r="N818" t="s">
        <v>2737</v>
      </c>
      <c r="O818" t="s">
        <v>74</v>
      </c>
      <c r="P818" t="s">
        <v>74</v>
      </c>
      <c r="Q818" t="s">
        <v>74</v>
      </c>
      <c r="R818" t="s">
        <v>74</v>
      </c>
      <c r="S818" t="s">
        <v>74</v>
      </c>
      <c r="T818" t="s">
        <v>10668</v>
      </c>
      <c r="U818" t="s">
        <v>10669</v>
      </c>
      <c r="V818" t="s">
        <v>10670</v>
      </c>
      <c r="W818" t="s">
        <v>10671</v>
      </c>
      <c r="X818" t="s">
        <v>74</v>
      </c>
      <c r="Y818" t="s">
        <v>10672</v>
      </c>
      <c r="Z818" t="s">
        <v>10673</v>
      </c>
      <c r="AA818" t="s">
        <v>74</v>
      </c>
      <c r="AB818" t="s">
        <v>74</v>
      </c>
      <c r="AC818" t="s">
        <v>74</v>
      </c>
      <c r="AD818" t="s">
        <v>74</v>
      </c>
      <c r="AE818" t="s">
        <v>74</v>
      </c>
      <c r="AF818" t="s">
        <v>74</v>
      </c>
      <c r="AG818">
        <v>61</v>
      </c>
      <c r="AH818">
        <v>18</v>
      </c>
      <c r="AI818">
        <v>21</v>
      </c>
      <c r="AJ818">
        <v>0</v>
      </c>
      <c r="AK818">
        <v>6</v>
      </c>
      <c r="AL818" t="s">
        <v>3007</v>
      </c>
      <c r="AM818" t="s">
        <v>3008</v>
      </c>
      <c r="AN818" t="s">
        <v>3009</v>
      </c>
      <c r="AO818" t="s">
        <v>10674</v>
      </c>
      <c r="AP818" t="s">
        <v>10675</v>
      </c>
      <c r="AQ818" t="s">
        <v>74</v>
      </c>
      <c r="AR818" t="s">
        <v>10676</v>
      </c>
      <c r="AS818" t="s">
        <v>10677</v>
      </c>
      <c r="AT818" t="s">
        <v>9967</v>
      </c>
      <c r="AU818">
        <v>2008</v>
      </c>
      <c r="AV818">
        <v>50</v>
      </c>
      <c r="AW818">
        <v>5</v>
      </c>
      <c r="AX818" t="s">
        <v>74</v>
      </c>
      <c r="AY818" t="s">
        <v>74</v>
      </c>
      <c r="AZ818" t="s">
        <v>74</v>
      </c>
      <c r="BA818" t="s">
        <v>74</v>
      </c>
      <c r="BB818">
        <v>286</v>
      </c>
      <c r="BC818">
        <v>304</v>
      </c>
      <c r="BD818" t="s">
        <v>74</v>
      </c>
      <c r="BE818" t="s">
        <v>10678</v>
      </c>
      <c r="BF818" t="str">
        <f>HYPERLINK("http://dx.doi.org/10.1016/j.jafrearsci.2007.10.002","http://dx.doi.org/10.1016/j.jafrearsci.2007.10.002")</f>
        <v>http://dx.doi.org/10.1016/j.jafrearsci.2007.10.002</v>
      </c>
      <c r="BG818" t="s">
        <v>74</v>
      </c>
      <c r="BH818" t="s">
        <v>74</v>
      </c>
      <c r="BI818">
        <v>19</v>
      </c>
      <c r="BJ818" t="s">
        <v>3093</v>
      </c>
      <c r="BK818" t="s">
        <v>419</v>
      </c>
      <c r="BL818" t="s">
        <v>3094</v>
      </c>
      <c r="BM818" t="s">
        <v>10679</v>
      </c>
      <c r="BN818" t="s">
        <v>74</v>
      </c>
      <c r="BO818" t="s">
        <v>74</v>
      </c>
      <c r="BP818" t="s">
        <v>74</v>
      </c>
      <c r="BQ818" t="s">
        <v>74</v>
      </c>
      <c r="BR818" t="s">
        <v>101</v>
      </c>
      <c r="BS818" t="s">
        <v>10680</v>
      </c>
      <c r="BT818" t="str">
        <f>HYPERLINK("https%3A%2F%2Fwww.webofscience.com%2Fwos%2Fwoscc%2Ffull-record%2FWOS:000257929300002","View Full Record in Web of Science")</f>
        <v>View Full Record in Web of Science</v>
      </c>
    </row>
    <row r="819" spans="1:72" x14ac:dyDescent="0.15">
      <c r="A819" t="s">
        <v>72</v>
      </c>
      <c r="B819" t="s">
        <v>10681</v>
      </c>
      <c r="C819" t="s">
        <v>74</v>
      </c>
      <c r="D819" t="s">
        <v>74</v>
      </c>
      <c r="E819" t="s">
        <v>74</v>
      </c>
      <c r="F819" t="s">
        <v>10682</v>
      </c>
      <c r="G819" t="s">
        <v>74</v>
      </c>
      <c r="H819" t="s">
        <v>74</v>
      </c>
      <c r="I819" t="s">
        <v>10683</v>
      </c>
      <c r="J819" t="s">
        <v>10684</v>
      </c>
      <c r="K819" t="s">
        <v>74</v>
      </c>
      <c r="L819" t="s">
        <v>74</v>
      </c>
      <c r="M819" t="s">
        <v>78</v>
      </c>
      <c r="N819" t="s">
        <v>2737</v>
      </c>
      <c r="O819" t="s">
        <v>74</v>
      </c>
      <c r="P819" t="s">
        <v>74</v>
      </c>
      <c r="Q819" t="s">
        <v>74</v>
      </c>
      <c r="R819" t="s">
        <v>74</v>
      </c>
      <c r="S819" t="s">
        <v>74</v>
      </c>
      <c r="T819" t="s">
        <v>10685</v>
      </c>
      <c r="U819" t="s">
        <v>10686</v>
      </c>
      <c r="V819" t="s">
        <v>10687</v>
      </c>
      <c r="W819" t="s">
        <v>10688</v>
      </c>
      <c r="X819" t="s">
        <v>10689</v>
      </c>
      <c r="Y819" t="s">
        <v>10690</v>
      </c>
      <c r="Z819" t="s">
        <v>9478</v>
      </c>
      <c r="AA819" t="s">
        <v>10691</v>
      </c>
      <c r="AB819" t="s">
        <v>74</v>
      </c>
      <c r="AC819" t="s">
        <v>74</v>
      </c>
      <c r="AD819" t="s">
        <v>74</v>
      </c>
      <c r="AE819" t="s">
        <v>74</v>
      </c>
      <c r="AF819" t="s">
        <v>74</v>
      </c>
      <c r="AG819">
        <v>50</v>
      </c>
      <c r="AH819">
        <v>61</v>
      </c>
      <c r="AI819">
        <v>65</v>
      </c>
      <c r="AJ819">
        <v>5</v>
      </c>
      <c r="AK819">
        <v>48</v>
      </c>
      <c r="AL819" t="s">
        <v>10692</v>
      </c>
      <c r="AM819" t="s">
        <v>150</v>
      </c>
      <c r="AN819" t="s">
        <v>151</v>
      </c>
      <c r="AO819" t="s">
        <v>10693</v>
      </c>
      <c r="AP819" t="s">
        <v>74</v>
      </c>
      <c r="AQ819" t="s">
        <v>74</v>
      </c>
      <c r="AR819" t="s">
        <v>10694</v>
      </c>
      <c r="AS819" t="s">
        <v>10695</v>
      </c>
      <c r="AT819" t="s">
        <v>9967</v>
      </c>
      <c r="AU819">
        <v>2008</v>
      </c>
      <c r="AV819">
        <v>77</v>
      </c>
      <c r="AW819">
        <v>2</v>
      </c>
      <c r="AX819" t="s">
        <v>74</v>
      </c>
      <c r="AY819" t="s">
        <v>74</v>
      </c>
      <c r="AZ819" t="s">
        <v>74</v>
      </c>
      <c r="BA819" t="s">
        <v>74</v>
      </c>
      <c r="BB819">
        <v>297</v>
      </c>
      <c r="BC819">
        <v>304</v>
      </c>
      <c r="BD819" t="s">
        <v>74</v>
      </c>
      <c r="BE819" t="s">
        <v>10696</v>
      </c>
      <c r="BF819" t="str">
        <f>HYPERLINK("http://dx.doi.org/10.1111/j.1365-2656.2007.01335.x","http://dx.doi.org/10.1111/j.1365-2656.2007.01335.x")</f>
        <v>http://dx.doi.org/10.1111/j.1365-2656.2007.01335.x</v>
      </c>
      <c r="BG819" t="s">
        <v>74</v>
      </c>
      <c r="BH819" t="s">
        <v>74</v>
      </c>
      <c r="BI819">
        <v>8</v>
      </c>
      <c r="BJ819" t="s">
        <v>10697</v>
      </c>
      <c r="BK819" t="s">
        <v>419</v>
      </c>
      <c r="BL819" t="s">
        <v>10698</v>
      </c>
      <c r="BM819" t="s">
        <v>10699</v>
      </c>
      <c r="BN819">
        <v>18070042</v>
      </c>
      <c r="BO819" t="s">
        <v>3589</v>
      </c>
      <c r="BP819" t="s">
        <v>74</v>
      </c>
      <c r="BQ819" t="s">
        <v>74</v>
      </c>
      <c r="BR819" t="s">
        <v>101</v>
      </c>
      <c r="BS819" t="s">
        <v>10700</v>
      </c>
      <c r="BT819" t="str">
        <f>HYPERLINK("https%3A%2F%2Fwww.webofscience.com%2Fwos%2Fwoscc%2Ffull-record%2FWOS:000252810400012","View Full Record in Web of Science")</f>
        <v>View Full Record in Web of Science</v>
      </c>
    </row>
    <row r="820" spans="1:72" x14ac:dyDescent="0.15">
      <c r="A820" t="s">
        <v>72</v>
      </c>
      <c r="B820" t="s">
        <v>10701</v>
      </c>
      <c r="C820" t="s">
        <v>74</v>
      </c>
      <c r="D820" t="s">
        <v>74</v>
      </c>
      <c r="E820" t="s">
        <v>74</v>
      </c>
      <c r="F820" t="s">
        <v>10702</v>
      </c>
      <c r="G820" t="s">
        <v>74</v>
      </c>
      <c r="H820" t="s">
        <v>74</v>
      </c>
      <c r="I820" t="s">
        <v>10703</v>
      </c>
      <c r="J820" t="s">
        <v>10704</v>
      </c>
      <c r="K820" t="s">
        <v>74</v>
      </c>
      <c r="L820" t="s">
        <v>74</v>
      </c>
      <c r="M820" t="s">
        <v>78</v>
      </c>
      <c r="N820" t="s">
        <v>3318</v>
      </c>
      <c r="O820" t="s">
        <v>10705</v>
      </c>
      <c r="P820" t="s">
        <v>10706</v>
      </c>
      <c r="Q820" t="s">
        <v>10707</v>
      </c>
      <c r="R820" t="s">
        <v>74</v>
      </c>
      <c r="S820" t="s">
        <v>74</v>
      </c>
      <c r="T820" t="s">
        <v>10708</v>
      </c>
      <c r="U820" t="s">
        <v>10709</v>
      </c>
      <c r="V820" t="s">
        <v>10710</v>
      </c>
      <c r="W820" t="s">
        <v>10711</v>
      </c>
      <c r="X820" t="s">
        <v>10712</v>
      </c>
      <c r="Y820" t="s">
        <v>10713</v>
      </c>
      <c r="Z820" t="s">
        <v>74</v>
      </c>
      <c r="AA820" t="s">
        <v>74</v>
      </c>
      <c r="AB820" t="s">
        <v>74</v>
      </c>
      <c r="AC820" t="s">
        <v>74</v>
      </c>
      <c r="AD820" t="s">
        <v>74</v>
      </c>
      <c r="AE820" t="s">
        <v>74</v>
      </c>
      <c r="AF820" t="s">
        <v>74</v>
      </c>
      <c r="AG820">
        <v>6</v>
      </c>
      <c r="AH820">
        <v>1</v>
      </c>
      <c r="AI820">
        <v>1</v>
      </c>
      <c r="AJ820">
        <v>0</v>
      </c>
      <c r="AK820">
        <v>1</v>
      </c>
      <c r="AL820" t="s">
        <v>2746</v>
      </c>
      <c r="AM820" t="s">
        <v>2747</v>
      </c>
      <c r="AN820" t="s">
        <v>2748</v>
      </c>
      <c r="AO820" t="s">
        <v>10714</v>
      </c>
      <c r="AP820" t="s">
        <v>74</v>
      </c>
      <c r="AQ820" t="s">
        <v>74</v>
      </c>
      <c r="AR820" t="s">
        <v>10715</v>
      </c>
      <c r="AS820" t="s">
        <v>10716</v>
      </c>
      <c r="AT820" t="s">
        <v>10717</v>
      </c>
      <c r="AU820">
        <v>2008</v>
      </c>
      <c r="AV820">
        <v>29</v>
      </c>
      <c r="AW820" t="s">
        <v>5676</v>
      </c>
      <c r="AX820" t="s">
        <v>74</v>
      </c>
      <c r="AY820" t="s">
        <v>74</v>
      </c>
      <c r="AZ820" t="s">
        <v>74</v>
      </c>
      <c r="BA820" t="s">
        <v>74</v>
      </c>
      <c r="BB820">
        <v>275</v>
      </c>
      <c r="BC820">
        <v>280</v>
      </c>
      <c r="BD820" t="s">
        <v>74</v>
      </c>
      <c r="BE820" t="s">
        <v>10718</v>
      </c>
      <c r="BF820" t="str">
        <f>HYPERLINK("http://dx.doi.org/10.1007/s12036-008-0036-8","http://dx.doi.org/10.1007/s12036-008-0036-8")</f>
        <v>http://dx.doi.org/10.1007/s12036-008-0036-8</v>
      </c>
      <c r="BG820" t="s">
        <v>74</v>
      </c>
      <c r="BH820" t="s">
        <v>74</v>
      </c>
      <c r="BI820">
        <v>6</v>
      </c>
      <c r="BJ820" t="s">
        <v>3794</v>
      </c>
      <c r="BK820" t="s">
        <v>113</v>
      </c>
      <c r="BL820" t="s">
        <v>3794</v>
      </c>
      <c r="BM820" t="s">
        <v>10719</v>
      </c>
      <c r="BN820" t="s">
        <v>74</v>
      </c>
      <c r="BO820" t="s">
        <v>74</v>
      </c>
      <c r="BP820" t="s">
        <v>74</v>
      </c>
      <c r="BQ820" t="s">
        <v>74</v>
      </c>
      <c r="BR820" t="s">
        <v>101</v>
      </c>
      <c r="BS820" t="s">
        <v>10720</v>
      </c>
      <c r="BT820" t="str">
        <f>HYPERLINK("https%3A%2F%2Fwww.webofscience.com%2Fwos%2Fwoscc%2Ffull-record%2FWOS:000258996500036","View Full Record in Web of Science")</f>
        <v>View Full Record in Web of Science</v>
      </c>
    </row>
    <row r="821" spans="1:72" x14ac:dyDescent="0.15">
      <c r="A821" t="s">
        <v>72</v>
      </c>
      <c r="B821" t="s">
        <v>10721</v>
      </c>
      <c r="C821" t="s">
        <v>74</v>
      </c>
      <c r="D821" t="s">
        <v>74</v>
      </c>
      <c r="E821" t="s">
        <v>74</v>
      </c>
      <c r="F821" t="s">
        <v>10722</v>
      </c>
      <c r="G821" t="s">
        <v>74</v>
      </c>
      <c r="H821" t="s">
        <v>74</v>
      </c>
      <c r="I821" t="s">
        <v>10723</v>
      </c>
      <c r="J821" t="s">
        <v>3706</v>
      </c>
      <c r="K821" t="s">
        <v>74</v>
      </c>
      <c r="L821" t="s">
        <v>74</v>
      </c>
      <c r="M821" t="s">
        <v>78</v>
      </c>
      <c r="N821" t="s">
        <v>2737</v>
      </c>
      <c r="O821" t="s">
        <v>74</v>
      </c>
      <c r="P821" t="s">
        <v>74</v>
      </c>
      <c r="Q821" t="s">
        <v>74</v>
      </c>
      <c r="R821" t="s">
        <v>74</v>
      </c>
      <c r="S821" t="s">
        <v>74</v>
      </c>
      <c r="T821" t="s">
        <v>74</v>
      </c>
      <c r="U821" t="s">
        <v>10724</v>
      </c>
      <c r="V821" t="s">
        <v>10725</v>
      </c>
      <c r="W821" t="s">
        <v>10726</v>
      </c>
      <c r="X821" t="s">
        <v>292</v>
      </c>
      <c r="Y821" t="s">
        <v>10727</v>
      </c>
      <c r="Z821" t="s">
        <v>10728</v>
      </c>
      <c r="AA821" t="s">
        <v>10729</v>
      </c>
      <c r="AB821" t="s">
        <v>10730</v>
      </c>
      <c r="AC821" t="s">
        <v>74</v>
      </c>
      <c r="AD821" t="s">
        <v>74</v>
      </c>
      <c r="AE821" t="s">
        <v>74</v>
      </c>
      <c r="AF821" t="s">
        <v>74</v>
      </c>
      <c r="AG821">
        <v>51</v>
      </c>
      <c r="AH821">
        <v>31</v>
      </c>
      <c r="AI821">
        <v>33</v>
      </c>
      <c r="AJ821">
        <v>0</v>
      </c>
      <c r="AK821">
        <v>7</v>
      </c>
      <c r="AL821" t="s">
        <v>3716</v>
      </c>
      <c r="AM821" t="s">
        <v>3717</v>
      </c>
      <c r="AN821" t="s">
        <v>3738</v>
      </c>
      <c r="AO821" t="s">
        <v>3719</v>
      </c>
      <c r="AP821" t="s">
        <v>74</v>
      </c>
      <c r="AQ821" t="s">
        <v>74</v>
      </c>
      <c r="AR821" t="s">
        <v>3721</v>
      </c>
      <c r="AS821" t="s">
        <v>3722</v>
      </c>
      <c r="AT821" t="s">
        <v>9967</v>
      </c>
      <c r="AU821">
        <v>2008</v>
      </c>
      <c r="AV821">
        <v>21</v>
      </c>
      <c r="AW821">
        <v>5</v>
      </c>
      <c r="AX821" t="s">
        <v>74</v>
      </c>
      <c r="AY821" t="s">
        <v>74</v>
      </c>
      <c r="AZ821" t="s">
        <v>74</v>
      </c>
      <c r="BA821" t="s">
        <v>74</v>
      </c>
      <c r="BB821">
        <v>938</v>
      </c>
      <c r="BC821">
        <v>962</v>
      </c>
      <c r="BD821" t="s">
        <v>74</v>
      </c>
      <c r="BE821" t="s">
        <v>10731</v>
      </c>
      <c r="BF821" t="str">
        <f>HYPERLINK("http://dx.doi.org/10.1175/2007JCLI1690.1","http://dx.doi.org/10.1175/2007JCLI1690.1")</f>
        <v>http://dx.doi.org/10.1175/2007JCLI1690.1</v>
      </c>
      <c r="BG821" t="s">
        <v>74</v>
      </c>
      <c r="BH821" t="s">
        <v>74</v>
      </c>
      <c r="BI821">
        <v>25</v>
      </c>
      <c r="BJ821" t="s">
        <v>3071</v>
      </c>
      <c r="BK821" t="s">
        <v>419</v>
      </c>
      <c r="BL821" t="s">
        <v>3071</v>
      </c>
      <c r="BM821" t="s">
        <v>10732</v>
      </c>
      <c r="BN821" t="s">
        <v>74</v>
      </c>
      <c r="BO821" t="s">
        <v>10733</v>
      </c>
      <c r="BP821" t="s">
        <v>74</v>
      </c>
      <c r="BQ821" t="s">
        <v>74</v>
      </c>
      <c r="BR821" t="s">
        <v>101</v>
      </c>
      <c r="BS821" t="s">
        <v>10734</v>
      </c>
      <c r="BT821" t="str">
        <f>HYPERLINK("https%3A%2F%2Fwww.webofscience.com%2Fwos%2Fwoscc%2Ffull-record%2FWOS:000254263700006","View Full Record in Web of Science")</f>
        <v>View Full Record in Web of Science</v>
      </c>
    </row>
    <row r="822" spans="1:72" x14ac:dyDescent="0.15">
      <c r="A822" t="s">
        <v>72</v>
      </c>
      <c r="B822" t="s">
        <v>10735</v>
      </c>
      <c r="C822" t="s">
        <v>74</v>
      </c>
      <c r="D822" t="s">
        <v>74</v>
      </c>
      <c r="E822" t="s">
        <v>74</v>
      </c>
      <c r="F822" t="s">
        <v>10736</v>
      </c>
      <c r="G822" t="s">
        <v>74</v>
      </c>
      <c r="H822" t="s">
        <v>74</v>
      </c>
      <c r="I822" t="s">
        <v>10737</v>
      </c>
      <c r="J822" t="s">
        <v>10738</v>
      </c>
      <c r="K822" t="s">
        <v>74</v>
      </c>
      <c r="L822" t="s">
        <v>74</v>
      </c>
      <c r="M822" t="s">
        <v>78</v>
      </c>
      <c r="N822" t="s">
        <v>2737</v>
      </c>
      <c r="O822" t="s">
        <v>74</v>
      </c>
      <c r="P822" t="s">
        <v>74</v>
      </c>
      <c r="Q822" t="s">
        <v>74</v>
      </c>
      <c r="R822" t="s">
        <v>74</v>
      </c>
      <c r="S822" t="s">
        <v>74</v>
      </c>
      <c r="T822" t="s">
        <v>74</v>
      </c>
      <c r="U822" t="s">
        <v>10739</v>
      </c>
      <c r="V822" t="s">
        <v>10740</v>
      </c>
      <c r="W822" t="s">
        <v>10741</v>
      </c>
      <c r="X822" t="s">
        <v>10742</v>
      </c>
      <c r="Y822" t="s">
        <v>10743</v>
      </c>
      <c r="Z822" t="s">
        <v>10744</v>
      </c>
      <c r="AA822" t="s">
        <v>10745</v>
      </c>
      <c r="AB822" t="s">
        <v>10746</v>
      </c>
      <c r="AC822" t="s">
        <v>4437</v>
      </c>
      <c r="AD822" t="s">
        <v>3031</v>
      </c>
      <c r="AE822" t="s">
        <v>74</v>
      </c>
      <c r="AF822" t="s">
        <v>74</v>
      </c>
      <c r="AG822">
        <v>25</v>
      </c>
      <c r="AH822">
        <v>101</v>
      </c>
      <c r="AI822">
        <v>109</v>
      </c>
      <c r="AJ822">
        <v>0</v>
      </c>
      <c r="AK822">
        <v>2</v>
      </c>
      <c r="AL822" t="s">
        <v>10003</v>
      </c>
      <c r="AM822" t="s">
        <v>3281</v>
      </c>
      <c r="AN822" t="s">
        <v>10004</v>
      </c>
      <c r="AO822" t="s">
        <v>10747</v>
      </c>
      <c r="AP822" t="s">
        <v>10748</v>
      </c>
      <c r="AQ822" t="s">
        <v>74</v>
      </c>
      <c r="AR822" t="s">
        <v>10749</v>
      </c>
      <c r="AS822" t="s">
        <v>10750</v>
      </c>
      <c r="AT822" t="s">
        <v>9967</v>
      </c>
      <c r="AU822">
        <v>2008</v>
      </c>
      <c r="AV822">
        <v>46</v>
      </c>
      <c r="AW822">
        <v>3</v>
      </c>
      <c r="AX822" t="s">
        <v>74</v>
      </c>
      <c r="AY822" t="s">
        <v>74</v>
      </c>
      <c r="AZ822" t="s">
        <v>74</v>
      </c>
      <c r="BA822" t="s">
        <v>74</v>
      </c>
      <c r="BB822">
        <v>933</v>
      </c>
      <c r="BC822">
        <v>938</v>
      </c>
      <c r="BD822" t="s">
        <v>74</v>
      </c>
      <c r="BE822" t="s">
        <v>10751</v>
      </c>
      <c r="BF822" t="str">
        <f>HYPERLINK("http://dx.doi.org/10.1128/JCM.02116-07","http://dx.doi.org/10.1128/JCM.02116-07")</f>
        <v>http://dx.doi.org/10.1128/JCM.02116-07</v>
      </c>
      <c r="BG822" t="s">
        <v>74</v>
      </c>
      <c r="BH822" t="s">
        <v>74</v>
      </c>
      <c r="BI822">
        <v>6</v>
      </c>
      <c r="BJ822" t="s">
        <v>4689</v>
      </c>
      <c r="BK822" t="s">
        <v>419</v>
      </c>
      <c r="BL822" t="s">
        <v>4689</v>
      </c>
      <c r="BM822" t="s">
        <v>10752</v>
      </c>
      <c r="BN822">
        <v>18199788</v>
      </c>
      <c r="BO822" t="s">
        <v>3311</v>
      </c>
      <c r="BP822" t="s">
        <v>74</v>
      </c>
      <c r="BQ822" t="s">
        <v>74</v>
      </c>
      <c r="BR822" t="s">
        <v>101</v>
      </c>
      <c r="BS822" t="s">
        <v>10753</v>
      </c>
      <c r="BT822" t="str">
        <f>HYPERLINK("https%3A%2F%2Fwww.webofscience.com%2Fwos%2Fwoscc%2Ffull-record%2FWOS:000254059800017","View Full Record in Web of Science")</f>
        <v>View Full Record in Web of Science</v>
      </c>
    </row>
    <row r="823" spans="1:72" x14ac:dyDescent="0.15">
      <c r="A823" t="s">
        <v>72</v>
      </c>
      <c r="B823" t="s">
        <v>10754</v>
      </c>
      <c r="C823" t="s">
        <v>74</v>
      </c>
      <c r="D823" t="s">
        <v>74</v>
      </c>
      <c r="E823" t="s">
        <v>74</v>
      </c>
      <c r="F823" t="s">
        <v>10755</v>
      </c>
      <c r="G823" t="s">
        <v>74</v>
      </c>
      <c r="H823" t="s">
        <v>74</v>
      </c>
      <c r="I823" t="s">
        <v>10756</v>
      </c>
      <c r="J823" t="s">
        <v>10757</v>
      </c>
      <c r="K823" t="s">
        <v>74</v>
      </c>
      <c r="L823" t="s">
        <v>74</v>
      </c>
      <c r="M823" t="s">
        <v>78</v>
      </c>
      <c r="N823" t="s">
        <v>2737</v>
      </c>
      <c r="O823" t="s">
        <v>74</v>
      </c>
      <c r="P823" t="s">
        <v>74</v>
      </c>
      <c r="Q823" t="s">
        <v>74</v>
      </c>
      <c r="R823" t="s">
        <v>74</v>
      </c>
      <c r="S823" t="s">
        <v>74</v>
      </c>
      <c r="T823" t="s">
        <v>10758</v>
      </c>
      <c r="U823" t="s">
        <v>10759</v>
      </c>
      <c r="V823" t="s">
        <v>10760</v>
      </c>
      <c r="W823" t="s">
        <v>10761</v>
      </c>
      <c r="X823" t="s">
        <v>4279</v>
      </c>
      <c r="Y823" t="s">
        <v>10762</v>
      </c>
      <c r="Z823" t="s">
        <v>10763</v>
      </c>
      <c r="AA823" t="s">
        <v>10764</v>
      </c>
      <c r="AB823" t="s">
        <v>10765</v>
      </c>
      <c r="AC823" t="s">
        <v>74</v>
      </c>
      <c r="AD823" t="s">
        <v>74</v>
      </c>
      <c r="AE823" t="s">
        <v>74</v>
      </c>
      <c r="AF823" t="s">
        <v>74</v>
      </c>
      <c r="AG823">
        <v>49</v>
      </c>
      <c r="AH823">
        <v>9</v>
      </c>
      <c r="AI823">
        <v>10</v>
      </c>
      <c r="AJ823">
        <v>0</v>
      </c>
      <c r="AK823">
        <v>11</v>
      </c>
      <c r="AL823" t="s">
        <v>88</v>
      </c>
      <c r="AM823" t="s">
        <v>89</v>
      </c>
      <c r="AN823" t="s">
        <v>90</v>
      </c>
      <c r="AO823" t="s">
        <v>10766</v>
      </c>
      <c r="AP823" t="s">
        <v>10767</v>
      </c>
      <c r="AQ823" t="s">
        <v>74</v>
      </c>
      <c r="AR823" t="s">
        <v>10768</v>
      </c>
      <c r="AS823" t="s">
        <v>10769</v>
      </c>
      <c r="AT823" t="s">
        <v>9967</v>
      </c>
      <c r="AU823">
        <v>2008</v>
      </c>
      <c r="AV823">
        <v>96</v>
      </c>
      <c r="AW823">
        <v>2</v>
      </c>
      <c r="AX823" t="s">
        <v>74</v>
      </c>
      <c r="AY823" t="s">
        <v>74</v>
      </c>
      <c r="AZ823" t="s">
        <v>74</v>
      </c>
      <c r="BA823" t="s">
        <v>74</v>
      </c>
      <c r="BB823">
        <v>378</v>
      </c>
      <c r="BC823">
        <v>385</v>
      </c>
      <c r="BD823" t="s">
        <v>74</v>
      </c>
      <c r="BE823" t="s">
        <v>10770</v>
      </c>
      <c r="BF823" t="str">
        <f>HYPERLINK("http://dx.doi.org/10.1111/j.1365-2745.2007.01347.x","http://dx.doi.org/10.1111/j.1365-2745.2007.01347.x")</f>
        <v>http://dx.doi.org/10.1111/j.1365-2745.2007.01347.x</v>
      </c>
      <c r="BG823" t="s">
        <v>74</v>
      </c>
      <c r="BH823" t="s">
        <v>74</v>
      </c>
      <c r="BI823">
        <v>8</v>
      </c>
      <c r="BJ823" t="s">
        <v>10771</v>
      </c>
      <c r="BK823" t="s">
        <v>419</v>
      </c>
      <c r="BL823" t="s">
        <v>10772</v>
      </c>
      <c r="BM823" t="s">
        <v>10773</v>
      </c>
      <c r="BN823" t="s">
        <v>74</v>
      </c>
      <c r="BO823" t="s">
        <v>4015</v>
      </c>
      <c r="BP823" t="s">
        <v>74</v>
      </c>
      <c r="BQ823" t="s">
        <v>74</v>
      </c>
      <c r="BR823" t="s">
        <v>101</v>
      </c>
      <c r="BS823" t="s">
        <v>10774</v>
      </c>
      <c r="BT823" t="str">
        <f>HYPERLINK("https%3A%2F%2Fwww.webofscience.com%2Fwos%2Fwoscc%2Ffull-record%2FWOS:000252899300014","View Full Record in Web of Science")</f>
        <v>View Full Record in Web of Science</v>
      </c>
    </row>
    <row r="824" spans="1:72" x14ac:dyDescent="0.15">
      <c r="A824" t="s">
        <v>72</v>
      </c>
      <c r="B824" t="s">
        <v>10775</v>
      </c>
      <c r="C824" t="s">
        <v>74</v>
      </c>
      <c r="D824" t="s">
        <v>74</v>
      </c>
      <c r="E824" t="s">
        <v>74</v>
      </c>
      <c r="F824" t="s">
        <v>10776</v>
      </c>
      <c r="G824" t="s">
        <v>74</v>
      </c>
      <c r="H824" t="s">
        <v>74</v>
      </c>
      <c r="I824" t="s">
        <v>10777</v>
      </c>
      <c r="J824" t="s">
        <v>4875</v>
      </c>
      <c r="K824" t="s">
        <v>74</v>
      </c>
      <c r="L824" t="s">
        <v>74</v>
      </c>
      <c r="M824" t="s">
        <v>78</v>
      </c>
      <c r="N824" t="s">
        <v>2737</v>
      </c>
      <c r="O824" t="s">
        <v>74</v>
      </c>
      <c r="P824" t="s">
        <v>74</v>
      </c>
      <c r="Q824" t="s">
        <v>74</v>
      </c>
      <c r="R824" t="s">
        <v>74</v>
      </c>
      <c r="S824" t="s">
        <v>74</v>
      </c>
      <c r="T824" t="s">
        <v>10778</v>
      </c>
      <c r="U824" t="s">
        <v>10779</v>
      </c>
      <c r="V824" t="s">
        <v>10780</v>
      </c>
      <c r="W824" t="s">
        <v>10781</v>
      </c>
      <c r="X824" t="s">
        <v>10782</v>
      </c>
      <c r="Y824" t="s">
        <v>10783</v>
      </c>
      <c r="Z824" t="s">
        <v>10784</v>
      </c>
      <c r="AA824" t="s">
        <v>10785</v>
      </c>
      <c r="AB824" t="s">
        <v>10786</v>
      </c>
      <c r="AC824" t="s">
        <v>74</v>
      </c>
      <c r="AD824" t="s">
        <v>74</v>
      </c>
      <c r="AE824" t="s">
        <v>74</v>
      </c>
      <c r="AF824" t="s">
        <v>74</v>
      </c>
      <c r="AG824">
        <v>22</v>
      </c>
      <c r="AH824">
        <v>14</v>
      </c>
      <c r="AI824">
        <v>16</v>
      </c>
      <c r="AJ824">
        <v>0</v>
      </c>
      <c r="AK824">
        <v>11</v>
      </c>
      <c r="AL824" t="s">
        <v>4883</v>
      </c>
      <c r="AM824" t="s">
        <v>4364</v>
      </c>
      <c r="AN824" t="s">
        <v>4884</v>
      </c>
      <c r="AO824" t="s">
        <v>4885</v>
      </c>
      <c r="AP824" t="s">
        <v>74</v>
      </c>
      <c r="AQ824" t="s">
        <v>74</v>
      </c>
      <c r="AR824" t="s">
        <v>4887</v>
      </c>
      <c r="AS824" t="s">
        <v>4888</v>
      </c>
      <c r="AT824" t="s">
        <v>9987</v>
      </c>
      <c r="AU824">
        <v>2008</v>
      </c>
      <c r="AV824">
        <v>211</v>
      </c>
      <c r="AW824">
        <v>5</v>
      </c>
      <c r="AX824" t="s">
        <v>74</v>
      </c>
      <c r="AY824" t="s">
        <v>74</v>
      </c>
      <c r="AZ824" t="s">
        <v>74</v>
      </c>
      <c r="BA824" t="s">
        <v>74</v>
      </c>
      <c r="BB824">
        <v>790</v>
      </c>
      <c r="BC824">
        <v>797</v>
      </c>
      <c r="BD824" t="s">
        <v>74</v>
      </c>
      <c r="BE824" t="s">
        <v>10787</v>
      </c>
      <c r="BF824" t="str">
        <f>HYPERLINK("http://dx.doi.org/10.1242/jeb.014613","http://dx.doi.org/10.1242/jeb.014613")</f>
        <v>http://dx.doi.org/10.1242/jeb.014613</v>
      </c>
      <c r="BG824" t="s">
        <v>74</v>
      </c>
      <c r="BH824" t="s">
        <v>74</v>
      </c>
      <c r="BI824">
        <v>8</v>
      </c>
      <c r="BJ824" t="s">
        <v>4890</v>
      </c>
      <c r="BK824" t="s">
        <v>419</v>
      </c>
      <c r="BL824" t="s">
        <v>4891</v>
      </c>
      <c r="BM824" t="s">
        <v>10788</v>
      </c>
      <c r="BN824">
        <v>18281342</v>
      </c>
      <c r="BO824" t="s">
        <v>3290</v>
      </c>
      <c r="BP824" t="s">
        <v>74</v>
      </c>
      <c r="BQ824" t="s">
        <v>74</v>
      </c>
      <c r="BR824" t="s">
        <v>101</v>
      </c>
      <c r="BS824" t="s">
        <v>10789</v>
      </c>
      <c r="BT824" t="str">
        <f>HYPERLINK("https%3A%2F%2Fwww.webofscience.com%2Fwos%2Fwoscc%2Ffull-record%2FWOS:000253196600026","View Full Record in Web of Science")</f>
        <v>View Full Record in Web of Science</v>
      </c>
    </row>
    <row r="825" spans="1:72" x14ac:dyDescent="0.15">
      <c r="A825" t="s">
        <v>72</v>
      </c>
      <c r="B825" t="s">
        <v>10775</v>
      </c>
      <c r="C825" t="s">
        <v>74</v>
      </c>
      <c r="D825" t="s">
        <v>74</v>
      </c>
      <c r="E825" t="s">
        <v>74</v>
      </c>
      <c r="F825" t="s">
        <v>10776</v>
      </c>
      <c r="G825" t="s">
        <v>74</v>
      </c>
      <c r="H825" t="s">
        <v>74</v>
      </c>
      <c r="I825" t="s">
        <v>10790</v>
      </c>
      <c r="J825" t="s">
        <v>4875</v>
      </c>
      <c r="K825" t="s">
        <v>74</v>
      </c>
      <c r="L825" t="s">
        <v>74</v>
      </c>
      <c r="M825" t="s">
        <v>78</v>
      </c>
      <c r="N825" t="s">
        <v>2737</v>
      </c>
      <c r="O825" t="s">
        <v>74</v>
      </c>
      <c r="P825" t="s">
        <v>74</v>
      </c>
      <c r="Q825" t="s">
        <v>74</v>
      </c>
      <c r="R825" t="s">
        <v>74</v>
      </c>
      <c r="S825" t="s">
        <v>74</v>
      </c>
      <c r="T825" t="s">
        <v>10791</v>
      </c>
      <c r="U825" t="s">
        <v>10792</v>
      </c>
      <c r="V825" t="s">
        <v>10793</v>
      </c>
      <c r="W825" t="s">
        <v>10781</v>
      </c>
      <c r="X825" t="s">
        <v>10782</v>
      </c>
      <c r="Y825" t="s">
        <v>10783</v>
      </c>
      <c r="Z825" t="s">
        <v>10784</v>
      </c>
      <c r="AA825" t="s">
        <v>10785</v>
      </c>
      <c r="AB825" t="s">
        <v>10786</v>
      </c>
      <c r="AC825" t="s">
        <v>74</v>
      </c>
      <c r="AD825" t="s">
        <v>74</v>
      </c>
      <c r="AE825" t="s">
        <v>74</v>
      </c>
      <c r="AF825" t="s">
        <v>74</v>
      </c>
      <c r="AG825">
        <v>63</v>
      </c>
      <c r="AH825">
        <v>14</v>
      </c>
      <c r="AI825">
        <v>20</v>
      </c>
      <c r="AJ825">
        <v>1</v>
      </c>
      <c r="AK825">
        <v>21</v>
      </c>
      <c r="AL825" t="s">
        <v>10794</v>
      </c>
      <c r="AM825" t="s">
        <v>4364</v>
      </c>
      <c r="AN825" t="s">
        <v>10795</v>
      </c>
      <c r="AO825" t="s">
        <v>4885</v>
      </c>
      <c r="AP825" t="s">
        <v>4886</v>
      </c>
      <c r="AQ825" t="s">
        <v>74</v>
      </c>
      <c r="AR825" t="s">
        <v>4887</v>
      </c>
      <c r="AS825" t="s">
        <v>4888</v>
      </c>
      <c r="AT825" t="s">
        <v>9987</v>
      </c>
      <c r="AU825">
        <v>2008</v>
      </c>
      <c r="AV825">
        <v>211</v>
      </c>
      <c r="AW825">
        <v>5</v>
      </c>
      <c r="AX825" t="s">
        <v>74</v>
      </c>
      <c r="AY825" t="s">
        <v>74</v>
      </c>
      <c r="AZ825" t="s">
        <v>74</v>
      </c>
      <c r="BA825" t="s">
        <v>74</v>
      </c>
      <c r="BB825">
        <v>798</v>
      </c>
      <c r="BC825">
        <v>804</v>
      </c>
      <c r="BD825" t="s">
        <v>74</v>
      </c>
      <c r="BE825" t="s">
        <v>10796</v>
      </c>
      <c r="BF825" t="str">
        <f>HYPERLINK("http://dx.doi.org/10.1242/jeb.014621","http://dx.doi.org/10.1242/jeb.014621")</f>
        <v>http://dx.doi.org/10.1242/jeb.014621</v>
      </c>
      <c r="BG825" t="s">
        <v>74</v>
      </c>
      <c r="BH825" t="s">
        <v>74</v>
      </c>
      <c r="BI825">
        <v>7</v>
      </c>
      <c r="BJ825" t="s">
        <v>4890</v>
      </c>
      <c r="BK825" t="s">
        <v>419</v>
      </c>
      <c r="BL825" t="s">
        <v>4891</v>
      </c>
      <c r="BM825" t="s">
        <v>10788</v>
      </c>
      <c r="BN825">
        <v>18281343</v>
      </c>
      <c r="BO825" t="s">
        <v>74</v>
      </c>
      <c r="BP825" t="s">
        <v>74</v>
      </c>
      <c r="BQ825" t="s">
        <v>74</v>
      </c>
      <c r="BR825" t="s">
        <v>101</v>
      </c>
      <c r="BS825" t="s">
        <v>10797</v>
      </c>
      <c r="BT825" t="str">
        <f>HYPERLINK("https%3A%2F%2Fwww.webofscience.com%2Fwos%2Fwoscc%2Ffull-record%2FWOS:000253196600027","View Full Record in Web of Science")</f>
        <v>View Full Record in Web of Science</v>
      </c>
    </row>
    <row r="826" spans="1:72" x14ac:dyDescent="0.15">
      <c r="A826" t="s">
        <v>72</v>
      </c>
      <c r="B826" t="s">
        <v>10798</v>
      </c>
      <c r="C826" t="s">
        <v>74</v>
      </c>
      <c r="D826" t="s">
        <v>74</v>
      </c>
      <c r="E826" t="s">
        <v>74</v>
      </c>
      <c r="F826" t="s">
        <v>10799</v>
      </c>
      <c r="G826" t="s">
        <v>74</v>
      </c>
      <c r="H826" t="s">
        <v>74</v>
      </c>
      <c r="I826" t="s">
        <v>10800</v>
      </c>
      <c r="J826" t="s">
        <v>10801</v>
      </c>
      <c r="K826" t="s">
        <v>74</v>
      </c>
      <c r="L826" t="s">
        <v>74</v>
      </c>
      <c r="M826" t="s">
        <v>78</v>
      </c>
      <c r="N826" t="s">
        <v>2737</v>
      </c>
      <c r="O826" t="s">
        <v>74</v>
      </c>
      <c r="P826" t="s">
        <v>74</v>
      </c>
      <c r="Q826" t="s">
        <v>74</v>
      </c>
      <c r="R826" t="s">
        <v>74</v>
      </c>
      <c r="S826" t="s">
        <v>74</v>
      </c>
      <c r="T826" t="s">
        <v>10802</v>
      </c>
      <c r="U826" t="s">
        <v>10803</v>
      </c>
      <c r="V826" t="s">
        <v>10804</v>
      </c>
      <c r="W826" t="s">
        <v>10805</v>
      </c>
      <c r="X826" t="s">
        <v>10806</v>
      </c>
      <c r="Y826" t="s">
        <v>10807</v>
      </c>
      <c r="Z826" t="s">
        <v>10808</v>
      </c>
      <c r="AA826" t="s">
        <v>10809</v>
      </c>
      <c r="AB826" t="s">
        <v>10810</v>
      </c>
      <c r="AC826" t="s">
        <v>74</v>
      </c>
      <c r="AD826" t="s">
        <v>74</v>
      </c>
      <c r="AE826" t="s">
        <v>74</v>
      </c>
      <c r="AF826" t="s">
        <v>74</v>
      </c>
      <c r="AG826">
        <v>56</v>
      </c>
      <c r="AH826">
        <v>105</v>
      </c>
      <c r="AI826">
        <v>119</v>
      </c>
      <c r="AJ826">
        <v>1</v>
      </c>
      <c r="AK826">
        <v>54</v>
      </c>
      <c r="AL826" t="s">
        <v>6676</v>
      </c>
      <c r="AM826" t="s">
        <v>3008</v>
      </c>
      <c r="AN826" t="s">
        <v>6677</v>
      </c>
      <c r="AO826" t="s">
        <v>10811</v>
      </c>
      <c r="AP826" t="s">
        <v>74</v>
      </c>
      <c r="AQ826" t="s">
        <v>74</v>
      </c>
      <c r="AR826" t="s">
        <v>10812</v>
      </c>
      <c r="AS826" t="s">
        <v>10813</v>
      </c>
      <c r="AT826" t="s">
        <v>9967</v>
      </c>
      <c r="AU826">
        <v>2008</v>
      </c>
      <c r="AV826">
        <v>72</v>
      </c>
      <c r="AW826">
        <v>4</v>
      </c>
      <c r="AX826" t="s">
        <v>74</v>
      </c>
      <c r="AY826" t="s">
        <v>74</v>
      </c>
      <c r="AZ826" t="s">
        <v>74</v>
      </c>
      <c r="BA826" t="s">
        <v>74</v>
      </c>
      <c r="BB826">
        <v>815</v>
      </c>
      <c r="BC826">
        <v>830</v>
      </c>
      <c r="BD826" t="s">
        <v>74</v>
      </c>
      <c r="BE826" t="s">
        <v>10814</v>
      </c>
      <c r="BF826" t="str">
        <f>HYPERLINK("http://dx.doi.org/10.1111/j.1095-8649.2007.01754.x","http://dx.doi.org/10.1111/j.1095-8649.2007.01754.x")</f>
        <v>http://dx.doi.org/10.1111/j.1095-8649.2007.01754.x</v>
      </c>
      <c r="BG826" t="s">
        <v>74</v>
      </c>
      <c r="BH826" t="s">
        <v>74</v>
      </c>
      <c r="BI826">
        <v>16</v>
      </c>
      <c r="BJ826" t="s">
        <v>10815</v>
      </c>
      <c r="BK826" t="s">
        <v>419</v>
      </c>
      <c r="BL826" t="s">
        <v>10815</v>
      </c>
      <c r="BM826" t="s">
        <v>10816</v>
      </c>
      <c r="BN826" t="s">
        <v>74</v>
      </c>
      <c r="BO826" t="s">
        <v>3110</v>
      </c>
      <c r="BP826" t="s">
        <v>74</v>
      </c>
      <c r="BQ826" t="s">
        <v>74</v>
      </c>
      <c r="BR826" t="s">
        <v>101</v>
      </c>
      <c r="BS826" t="s">
        <v>10817</v>
      </c>
      <c r="BT826" t="str">
        <f>HYPERLINK("https%3A%2F%2Fwww.webofscience.com%2Fwos%2Fwoscc%2Ffull-record%2FWOS:000253479300003","View Full Record in Web of Science")</f>
        <v>View Full Record in Web of Science</v>
      </c>
    </row>
    <row r="827" spans="1:72" x14ac:dyDescent="0.15">
      <c r="A827" t="s">
        <v>72</v>
      </c>
      <c r="B827" t="s">
        <v>10818</v>
      </c>
      <c r="C827" t="s">
        <v>74</v>
      </c>
      <c r="D827" t="s">
        <v>74</v>
      </c>
      <c r="E827" t="s">
        <v>74</v>
      </c>
      <c r="F827" t="s">
        <v>10819</v>
      </c>
      <c r="G827" t="s">
        <v>74</v>
      </c>
      <c r="H827" t="s">
        <v>74</v>
      </c>
      <c r="I827" t="s">
        <v>10820</v>
      </c>
      <c r="J827" t="s">
        <v>10801</v>
      </c>
      <c r="K827" t="s">
        <v>74</v>
      </c>
      <c r="L827" t="s">
        <v>74</v>
      </c>
      <c r="M827" t="s">
        <v>78</v>
      </c>
      <c r="N827" t="s">
        <v>2737</v>
      </c>
      <c r="O827" t="s">
        <v>74</v>
      </c>
      <c r="P827" t="s">
        <v>74</v>
      </c>
      <c r="Q827" t="s">
        <v>74</v>
      </c>
      <c r="R827" t="s">
        <v>74</v>
      </c>
      <c r="S827" t="s">
        <v>74</v>
      </c>
      <c r="T827" t="s">
        <v>10821</v>
      </c>
      <c r="U827" t="s">
        <v>10822</v>
      </c>
      <c r="V827" t="s">
        <v>10823</v>
      </c>
      <c r="W827" t="s">
        <v>10824</v>
      </c>
      <c r="X827" t="s">
        <v>10825</v>
      </c>
      <c r="Y827" t="s">
        <v>10826</v>
      </c>
      <c r="Z827" t="s">
        <v>10827</v>
      </c>
      <c r="AA827" t="s">
        <v>10828</v>
      </c>
      <c r="AB827" t="s">
        <v>10829</v>
      </c>
      <c r="AC827" t="s">
        <v>74</v>
      </c>
      <c r="AD827" t="s">
        <v>74</v>
      </c>
      <c r="AE827" t="s">
        <v>74</v>
      </c>
      <c r="AF827" t="s">
        <v>74</v>
      </c>
      <c r="AG827">
        <v>62</v>
      </c>
      <c r="AH827">
        <v>67</v>
      </c>
      <c r="AI827">
        <v>76</v>
      </c>
      <c r="AJ827">
        <v>0</v>
      </c>
      <c r="AK827">
        <v>42</v>
      </c>
      <c r="AL827" t="s">
        <v>149</v>
      </c>
      <c r="AM827" t="s">
        <v>89</v>
      </c>
      <c r="AN827" t="s">
        <v>90</v>
      </c>
      <c r="AO827" t="s">
        <v>10811</v>
      </c>
      <c r="AP827" t="s">
        <v>10830</v>
      </c>
      <c r="AQ827" t="s">
        <v>74</v>
      </c>
      <c r="AR827" t="s">
        <v>10812</v>
      </c>
      <c r="AS827" t="s">
        <v>10813</v>
      </c>
      <c r="AT827" t="s">
        <v>9967</v>
      </c>
      <c r="AU827">
        <v>2008</v>
      </c>
      <c r="AV827">
        <v>72</v>
      </c>
      <c r="AW827">
        <v>4</v>
      </c>
      <c r="AX827" t="s">
        <v>74</v>
      </c>
      <c r="AY827" t="s">
        <v>74</v>
      </c>
      <c r="AZ827" t="s">
        <v>74</v>
      </c>
      <c r="BA827" t="s">
        <v>74</v>
      </c>
      <c r="BB827">
        <v>899</v>
      </c>
      <c r="BC827">
        <v>916</v>
      </c>
      <c r="BD827" t="s">
        <v>74</v>
      </c>
      <c r="BE827" t="s">
        <v>10831</v>
      </c>
      <c r="BF827" t="str">
        <f>HYPERLINK("http://dx.doi.org/10.1111/j.1095-8649.2007.01763.x","http://dx.doi.org/10.1111/j.1095-8649.2007.01763.x")</f>
        <v>http://dx.doi.org/10.1111/j.1095-8649.2007.01763.x</v>
      </c>
      <c r="BG827" t="s">
        <v>74</v>
      </c>
      <c r="BH827" t="s">
        <v>74</v>
      </c>
      <c r="BI827">
        <v>18</v>
      </c>
      <c r="BJ827" t="s">
        <v>10815</v>
      </c>
      <c r="BK827" t="s">
        <v>419</v>
      </c>
      <c r="BL827" t="s">
        <v>10815</v>
      </c>
      <c r="BM827" t="s">
        <v>10816</v>
      </c>
      <c r="BN827" t="s">
        <v>74</v>
      </c>
      <c r="BO827" t="s">
        <v>74</v>
      </c>
      <c r="BP827" t="s">
        <v>74</v>
      </c>
      <c r="BQ827" t="s">
        <v>74</v>
      </c>
      <c r="BR827" t="s">
        <v>101</v>
      </c>
      <c r="BS827" t="s">
        <v>10832</v>
      </c>
      <c r="BT827" t="str">
        <f>HYPERLINK("https%3A%2F%2Fwww.webofscience.com%2Fwos%2Fwoscc%2Ffull-record%2FWOS:000253479300008","View Full Record in Web of Science")</f>
        <v>View Full Record in Web of Science</v>
      </c>
    </row>
    <row r="828" spans="1:72" x14ac:dyDescent="0.15">
      <c r="A828" t="s">
        <v>72</v>
      </c>
      <c r="B828" t="s">
        <v>10833</v>
      </c>
      <c r="C828" t="s">
        <v>74</v>
      </c>
      <c r="D828" t="s">
        <v>74</v>
      </c>
      <c r="E828" t="s">
        <v>74</v>
      </c>
      <c r="F828" t="s">
        <v>10834</v>
      </c>
      <c r="G828" t="s">
        <v>74</v>
      </c>
      <c r="H828" t="s">
        <v>74</v>
      </c>
      <c r="I828" t="s">
        <v>10835</v>
      </c>
      <c r="J828" t="s">
        <v>10836</v>
      </c>
      <c r="K828" t="s">
        <v>74</v>
      </c>
      <c r="L828" t="s">
        <v>74</v>
      </c>
      <c r="M828" t="s">
        <v>78</v>
      </c>
      <c r="N828" t="s">
        <v>2737</v>
      </c>
      <c r="O828" t="s">
        <v>74</v>
      </c>
      <c r="P828" t="s">
        <v>74</v>
      </c>
      <c r="Q828" t="s">
        <v>74</v>
      </c>
      <c r="R828" t="s">
        <v>74</v>
      </c>
      <c r="S828" t="s">
        <v>74</v>
      </c>
      <c r="T828" t="s">
        <v>74</v>
      </c>
      <c r="U828" t="s">
        <v>10837</v>
      </c>
      <c r="V828" t="s">
        <v>10838</v>
      </c>
      <c r="W828" t="s">
        <v>10839</v>
      </c>
      <c r="X828" t="s">
        <v>10840</v>
      </c>
      <c r="Y828" t="s">
        <v>10841</v>
      </c>
      <c r="Z828" t="s">
        <v>10842</v>
      </c>
      <c r="AA828" t="s">
        <v>10843</v>
      </c>
      <c r="AB828" t="s">
        <v>10844</v>
      </c>
      <c r="AC828" t="s">
        <v>74</v>
      </c>
      <c r="AD828" t="s">
        <v>74</v>
      </c>
      <c r="AE828" t="s">
        <v>74</v>
      </c>
      <c r="AF828" t="s">
        <v>74</v>
      </c>
      <c r="AG828">
        <v>86</v>
      </c>
      <c r="AH828">
        <v>142</v>
      </c>
      <c r="AI828">
        <v>155</v>
      </c>
      <c r="AJ828">
        <v>0</v>
      </c>
      <c r="AK828">
        <v>20</v>
      </c>
      <c r="AL828" t="s">
        <v>4907</v>
      </c>
      <c r="AM828" t="s">
        <v>4908</v>
      </c>
      <c r="AN828" t="s">
        <v>4909</v>
      </c>
      <c r="AO828" t="s">
        <v>10845</v>
      </c>
      <c r="AP828" t="s">
        <v>10846</v>
      </c>
      <c r="AQ828" t="s">
        <v>74</v>
      </c>
      <c r="AR828" t="s">
        <v>10847</v>
      </c>
      <c r="AS828" t="s">
        <v>10848</v>
      </c>
      <c r="AT828" t="s">
        <v>10388</v>
      </c>
      <c r="AU828">
        <v>2008</v>
      </c>
      <c r="AV828">
        <v>99</v>
      </c>
      <c r="AW828">
        <v>2</v>
      </c>
      <c r="AX828" t="s">
        <v>74</v>
      </c>
      <c r="AY828" t="s">
        <v>74</v>
      </c>
      <c r="AZ828" t="s">
        <v>74</v>
      </c>
      <c r="BA828" t="s">
        <v>74</v>
      </c>
      <c r="BB828">
        <v>137</v>
      </c>
      <c r="BC828">
        <v>148</v>
      </c>
      <c r="BD828" t="s">
        <v>74</v>
      </c>
      <c r="BE828" t="s">
        <v>10849</v>
      </c>
      <c r="BF828" t="str">
        <f>HYPERLINK("http://dx.doi.org/10.1093/jhered/esm119","http://dx.doi.org/10.1093/jhered/esm119")</f>
        <v>http://dx.doi.org/10.1093/jhered/esm119</v>
      </c>
      <c r="BG828" t="s">
        <v>74</v>
      </c>
      <c r="BH828" t="s">
        <v>74</v>
      </c>
      <c r="BI828">
        <v>12</v>
      </c>
      <c r="BJ828" t="s">
        <v>10850</v>
      </c>
      <c r="BK828" t="s">
        <v>419</v>
      </c>
      <c r="BL828" t="s">
        <v>10850</v>
      </c>
      <c r="BM828" t="s">
        <v>10851</v>
      </c>
      <c r="BN828">
        <v>18245798</v>
      </c>
      <c r="BO828" t="s">
        <v>74</v>
      </c>
      <c r="BP828" t="s">
        <v>74</v>
      </c>
      <c r="BQ828" t="s">
        <v>74</v>
      </c>
      <c r="BR828" t="s">
        <v>101</v>
      </c>
      <c r="BS828" t="s">
        <v>10852</v>
      </c>
      <c r="BT828" t="str">
        <f>HYPERLINK("https%3A%2F%2Fwww.webofscience.com%2Fwos%2Fwoscc%2Ffull-record%2FWOS:000254294700007","View Full Record in Web of Science")</f>
        <v>View Full Record in Web of Science</v>
      </c>
    </row>
    <row r="829" spans="1:72" x14ac:dyDescent="0.15">
      <c r="A829" t="s">
        <v>72</v>
      </c>
      <c r="B829" t="s">
        <v>10853</v>
      </c>
      <c r="C829" t="s">
        <v>74</v>
      </c>
      <c r="D829" t="s">
        <v>74</v>
      </c>
      <c r="E829" t="s">
        <v>74</v>
      </c>
      <c r="F829" t="s">
        <v>10854</v>
      </c>
      <c r="G829" t="s">
        <v>74</v>
      </c>
      <c r="H829" t="s">
        <v>74</v>
      </c>
      <c r="I829" t="s">
        <v>10855</v>
      </c>
      <c r="J829" t="s">
        <v>6593</v>
      </c>
      <c r="K829" t="s">
        <v>74</v>
      </c>
      <c r="L829" t="s">
        <v>74</v>
      </c>
      <c r="M829" t="s">
        <v>78</v>
      </c>
      <c r="N829" t="s">
        <v>2737</v>
      </c>
      <c r="O829" t="s">
        <v>74</v>
      </c>
      <c r="P829" t="s">
        <v>74</v>
      </c>
      <c r="Q829" t="s">
        <v>74</v>
      </c>
      <c r="R829" t="s">
        <v>74</v>
      </c>
      <c r="S829" t="s">
        <v>74</v>
      </c>
      <c r="T829" t="s">
        <v>10856</v>
      </c>
      <c r="U829" t="s">
        <v>10857</v>
      </c>
      <c r="V829" t="s">
        <v>10858</v>
      </c>
      <c r="W829" t="s">
        <v>10859</v>
      </c>
      <c r="X829" t="s">
        <v>2786</v>
      </c>
      <c r="Y829" t="s">
        <v>10860</v>
      </c>
      <c r="Z829" t="s">
        <v>10861</v>
      </c>
      <c r="AA829" t="s">
        <v>10862</v>
      </c>
      <c r="AB829" t="s">
        <v>10863</v>
      </c>
      <c r="AC829" t="s">
        <v>4704</v>
      </c>
      <c r="AD829" t="s">
        <v>3031</v>
      </c>
      <c r="AE829" t="s">
        <v>74</v>
      </c>
      <c r="AF829" t="s">
        <v>74</v>
      </c>
      <c r="AG829">
        <v>36</v>
      </c>
      <c r="AH829">
        <v>39</v>
      </c>
      <c r="AI829">
        <v>41</v>
      </c>
      <c r="AJ829">
        <v>0</v>
      </c>
      <c r="AK829">
        <v>14</v>
      </c>
      <c r="AL829" t="s">
        <v>3257</v>
      </c>
      <c r="AM829" t="s">
        <v>3258</v>
      </c>
      <c r="AN829" t="s">
        <v>3259</v>
      </c>
      <c r="AO829" t="s">
        <v>6603</v>
      </c>
      <c r="AP829" t="s">
        <v>10864</v>
      </c>
      <c r="AQ829" t="s">
        <v>74</v>
      </c>
      <c r="AR829" t="s">
        <v>6604</v>
      </c>
      <c r="AS829" t="s">
        <v>6605</v>
      </c>
      <c r="AT829" t="s">
        <v>9967</v>
      </c>
      <c r="AU829">
        <v>2008</v>
      </c>
      <c r="AV829">
        <v>70</v>
      </c>
      <c r="AW829" t="s">
        <v>5676</v>
      </c>
      <c r="AX829" t="s">
        <v>74</v>
      </c>
      <c r="AY829" t="s">
        <v>74</v>
      </c>
      <c r="AZ829" t="s">
        <v>74</v>
      </c>
      <c r="BA829" t="s">
        <v>74</v>
      </c>
      <c r="BB829">
        <v>150</v>
      </c>
      <c r="BC829">
        <v>167</v>
      </c>
      <c r="BD829" t="s">
        <v>74</v>
      </c>
      <c r="BE829" t="s">
        <v>10865</v>
      </c>
      <c r="BF829" t="str">
        <f>HYPERLINK("http://dx.doi.org/10.1016/j.jmarsys.2007.05.003","http://dx.doi.org/10.1016/j.jmarsys.2007.05.003")</f>
        <v>http://dx.doi.org/10.1016/j.jmarsys.2007.05.003</v>
      </c>
      <c r="BG829" t="s">
        <v>74</v>
      </c>
      <c r="BH829" t="s">
        <v>74</v>
      </c>
      <c r="BI829">
        <v>18</v>
      </c>
      <c r="BJ829" t="s">
        <v>6607</v>
      </c>
      <c r="BK829" t="s">
        <v>419</v>
      </c>
      <c r="BL829" t="s">
        <v>6608</v>
      </c>
      <c r="BM829" t="s">
        <v>10866</v>
      </c>
      <c r="BN829" t="s">
        <v>74</v>
      </c>
      <c r="BO829" t="s">
        <v>74</v>
      </c>
      <c r="BP829" t="s">
        <v>74</v>
      </c>
      <c r="BQ829" t="s">
        <v>74</v>
      </c>
      <c r="BR829" t="s">
        <v>101</v>
      </c>
      <c r="BS829" t="s">
        <v>10867</v>
      </c>
      <c r="BT829" t="str">
        <f>HYPERLINK("https%3A%2F%2Fwww.webofscience.com%2Fwos%2Fwoscc%2Ffull-record%2FWOS:000253180800009","View Full Record in Web of Science")</f>
        <v>View Full Record in Web of Science</v>
      </c>
    </row>
    <row r="830" spans="1:72" x14ac:dyDescent="0.15">
      <c r="A830" t="s">
        <v>72</v>
      </c>
      <c r="B830" t="s">
        <v>10868</v>
      </c>
      <c r="C830" t="s">
        <v>74</v>
      </c>
      <c r="D830" t="s">
        <v>74</v>
      </c>
      <c r="E830" t="s">
        <v>74</v>
      </c>
      <c r="F830" t="s">
        <v>10869</v>
      </c>
      <c r="G830" t="s">
        <v>74</v>
      </c>
      <c r="H830" t="s">
        <v>74</v>
      </c>
      <c r="I830" t="s">
        <v>10870</v>
      </c>
      <c r="J830" t="s">
        <v>10871</v>
      </c>
      <c r="K830" t="s">
        <v>74</v>
      </c>
      <c r="L830" t="s">
        <v>74</v>
      </c>
      <c r="M830" t="s">
        <v>78</v>
      </c>
      <c r="N830" t="s">
        <v>2737</v>
      </c>
      <c r="O830" t="s">
        <v>74</v>
      </c>
      <c r="P830" t="s">
        <v>74</v>
      </c>
      <c r="Q830" t="s">
        <v>74</v>
      </c>
      <c r="R830" t="s">
        <v>74</v>
      </c>
      <c r="S830" t="s">
        <v>74</v>
      </c>
      <c r="T830" t="s">
        <v>10872</v>
      </c>
      <c r="U830" t="s">
        <v>10873</v>
      </c>
      <c r="V830" t="s">
        <v>10874</v>
      </c>
      <c r="W830" t="s">
        <v>10875</v>
      </c>
      <c r="X830" t="s">
        <v>10876</v>
      </c>
      <c r="Y830" t="s">
        <v>10877</v>
      </c>
      <c r="Z830" t="s">
        <v>10878</v>
      </c>
      <c r="AA830" t="s">
        <v>74</v>
      </c>
      <c r="AB830" t="s">
        <v>74</v>
      </c>
      <c r="AC830" t="s">
        <v>10879</v>
      </c>
      <c r="AD830" t="s">
        <v>2792</v>
      </c>
      <c r="AE830" t="s">
        <v>74</v>
      </c>
      <c r="AF830" t="s">
        <v>74</v>
      </c>
      <c r="AG830">
        <v>64</v>
      </c>
      <c r="AH830">
        <v>18</v>
      </c>
      <c r="AI830">
        <v>19</v>
      </c>
      <c r="AJ830">
        <v>0</v>
      </c>
      <c r="AK830">
        <v>25</v>
      </c>
      <c r="AL830" t="s">
        <v>88</v>
      </c>
      <c r="AM830" t="s">
        <v>89</v>
      </c>
      <c r="AN830" t="s">
        <v>90</v>
      </c>
      <c r="AO830" t="s">
        <v>10880</v>
      </c>
      <c r="AP830" t="s">
        <v>10881</v>
      </c>
      <c r="AQ830" t="s">
        <v>74</v>
      </c>
      <c r="AR830" t="s">
        <v>10882</v>
      </c>
      <c r="AS830" t="s">
        <v>10883</v>
      </c>
      <c r="AT830" t="s">
        <v>9967</v>
      </c>
      <c r="AU830">
        <v>2008</v>
      </c>
      <c r="AV830">
        <v>23</v>
      </c>
      <c r="AW830">
        <v>3</v>
      </c>
      <c r="AX830" t="s">
        <v>74</v>
      </c>
      <c r="AY830" t="s">
        <v>74</v>
      </c>
      <c r="AZ830" t="s">
        <v>74</v>
      </c>
      <c r="BA830" t="s">
        <v>74</v>
      </c>
      <c r="BB830">
        <v>241</v>
      </c>
      <c r="BC830">
        <v>248</v>
      </c>
      <c r="BD830" t="s">
        <v>74</v>
      </c>
      <c r="BE830" t="s">
        <v>10884</v>
      </c>
      <c r="BF830" t="str">
        <f>HYPERLINK("http://dx.doi.org/10.1002/jqs.1143","http://dx.doi.org/10.1002/jqs.1143")</f>
        <v>http://dx.doi.org/10.1002/jqs.1143</v>
      </c>
      <c r="BG830" t="s">
        <v>74</v>
      </c>
      <c r="BH830" t="s">
        <v>74</v>
      </c>
      <c r="BI830">
        <v>8</v>
      </c>
      <c r="BJ830" t="s">
        <v>3015</v>
      </c>
      <c r="BK830" t="s">
        <v>419</v>
      </c>
      <c r="BL830" t="s">
        <v>3016</v>
      </c>
      <c r="BM830" t="s">
        <v>10885</v>
      </c>
      <c r="BN830" t="s">
        <v>74</v>
      </c>
      <c r="BO830" t="s">
        <v>3110</v>
      </c>
      <c r="BP830" t="s">
        <v>74</v>
      </c>
      <c r="BQ830" t="s">
        <v>74</v>
      </c>
      <c r="BR830" t="s">
        <v>101</v>
      </c>
      <c r="BS830" t="s">
        <v>10886</v>
      </c>
      <c r="BT830" t="str">
        <f>HYPERLINK("https%3A%2F%2Fwww.webofscience.com%2Fwos%2Fwoscc%2Ffull-record%2FWOS:000254672500004","View Full Record in Web of Science")</f>
        <v>View Full Record in Web of Science</v>
      </c>
    </row>
    <row r="831" spans="1:72" x14ac:dyDescent="0.15">
      <c r="A831" t="s">
        <v>72</v>
      </c>
      <c r="B831" t="s">
        <v>10887</v>
      </c>
      <c r="C831" t="s">
        <v>74</v>
      </c>
      <c r="D831" t="s">
        <v>74</v>
      </c>
      <c r="E831" t="s">
        <v>74</v>
      </c>
      <c r="F831" t="s">
        <v>10888</v>
      </c>
      <c r="G831" t="s">
        <v>74</v>
      </c>
      <c r="H831" t="s">
        <v>74</v>
      </c>
      <c r="I831" t="s">
        <v>10889</v>
      </c>
      <c r="J831" t="s">
        <v>10890</v>
      </c>
      <c r="K831" t="s">
        <v>74</v>
      </c>
      <c r="L831" t="s">
        <v>74</v>
      </c>
      <c r="M831" t="s">
        <v>78</v>
      </c>
      <c r="N831" t="s">
        <v>4296</v>
      </c>
      <c r="O831" t="s">
        <v>74</v>
      </c>
      <c r="P831" t="s">
        <v>74</v>
      </c>
      <c r="Q831" t="s">
        <v>74</v>
      </c>
      <c r="R831" t="s">
        <v>74</v>
      </c>
      <c r="S831" t="s">
        <v>74</v>
      </c>
      <c r="T831" t="s">
        <v>74</v>
      </c>
      <c r="U831" t="s">
        <v>74</v>
      </c>
      <c r="V831" t="s">
        <v>74</v>
      </c>
      <c r="W831" t="s">
        <v>74</v>
      </c>
      <c r="X831" t="s">
        <v>74</v>
      </c>
      <c r="Y831" t="s">
        <v>74</v>
      </c>
      <c r="Z831" t="s">
        <v>74</v>
      </c>
      <c r="AA831" t="s">
        <v>74</v>
      </c>
      <c r="AB831" t="s">
        <v>74</v>
      </c>
      <c r="AC831" t="s">
        <v>74</v>
      </c>
      <c r="AD831" t="s">
        <v>74</v>
      </c>
      <c r="AE831" t="s">
        <v>74</v>
      </c>
      <c r="AF831" t="s">
        <v>74</v>
      </c>
      <c r="AG831">
        <v>1</v>
      </c>
      <c r="AH831">
        <v>0</v>
      </c>
      <c r="AI831">
        <v>0</v>
      </c>
      <c r="AJ831">
        <v>0</v>
      </c>
      <c r="AK831">
        <v>0</v>
      </c>
      <c r="AL831" t="s">
        <v>10891</v>
      </c>
      <c r="AM831" t="s">
        <v>2747</v>
      </c>
      <c r="AN831" t="s">
        <v>10892</v>
      </c>
      <c r="AO831" t="s">
        <v>10893</v>
      </c>
      <c r="AP831" t="s">
        <v>74</v>
      </c>
      <c r="AQ831" t="s">
        <v>74</v>
      </c>
      <c r="AR831" t="s">
        <v>10894</v>
      </c>
      <c r="AS831" t="s">
        <v>10895</v>
      </c>
      <c r="AT831" t="s">
        <v>9987</v>
      </c>
      <c r="AU831">
        <v>2008</v>
      </c>
      <c r="AV831">
        <v>133</v>
      </c>
      <c r="AW831">
        <v>4</v>
      </c>
      <c r="AX831" t="s">
        <v>74</v>
      </c>
      <c r="AY831" t="s">
        <v>74</v>
      </c>
      <c r="AZ831" t="s">
        <v>74</v>
      </c>
      <c r="BA831" t="s">
        <v>74</v>
      </c>
      <c r="BB831">
        <v>130</v>
      </c>
      <c r="BC831">
        <v>130</v>
      </c>
      <c r="BD831" t="s">
        <v>74</v>
      </c>
      <c r="BE831" t="s">
        <v>74</v>
      </c>
      <c r="BF831" t="s">
        <v>74</v>
      </c>
      <c r="BG831" t="s">
        <v>74</v>
      </c>
      <c r="BH831" t="s">
        <v>74</v>
      </c>
      <c r="BI831">
        <v>1</v>
      </c>
      <c r="BJ831" t="s">
        <v>10896</v>
      </c>
      <c r="BK831" t="s">
        <v>4307</v>
      </c>
      <c r="BL831" t="s">
        <v>10896</v>
      </c>
      <c r="BM831" t="s">
        <v>10897</v>
      </c>
      <c r="BN831" t="s">
        <v>74</v>
      </c>
      <c r="BO831" t="s">
        <v>74</v>
      </c>
      <c r="BP831" t="s">
        <v>74</v>
      </c>
      <c r="BQ831" t="s">
        <v>74</v>
      </c>
      <c r="BR831" t="s">
        <v>101</v>
      </c>
      <c r="BS831" t="s">
        <v>10898</v>
      </c>
      <c r="BT831" t="str">
        <f>HYPERLINK("https%3A%2F%2Fwww.webofscience.com%2Fwos%2Fwoscc%2Ffull-record%2FWOS:000253622300214","View Full Record in Web of Science")</f>
        <v>View Full Record in Web of Science</v>
      </c>
    </row>
    <row r="832" spans="1:72" x14ac:dyDescent="0.15">
      <c r="A832" t="s">
        <v>72</v>
      </c>
      <c r="B832" t="s">
        <v>10899</v>
      </c>
      <c r="C832" t="s">
        <v>74</v>
      </c>
      <c r="D832" t="s">
        <v>74</v>
      </c>
      <c r="E832" t="s">
        <v>74</v>
      </c>
      <c r="F832" t="s">
        <v>10900</v>
      </c>
      <c r="G832" t="s">
        <v>74</v>
      </c>
      <c r="H832" t="s">
        <v>74</v>
      </c>
      <c r="I832" t="s">
        <v>10901</v>
      </c>
      <c r="J832" t="s">
        <v>10902</v>
      </c>
      <c r="K832" t="s">
        <v>74</v>
      </c>
      <c r="L832" t="s">
        <v>74</v>
      </c>
      <c r="M832" t="s">
        <v>78</v>
      </c>
      <c r="N832" t="s">
        <v>2958</v>
      </c>
      <c r="O832" t="s">
        <v>74</v>
      </c>
      <c r="P832" t="s">
        <v>74</v>
      </c>
      <c r="Q832" t="s">
        <v>74</v>
      </c>
      <c r="R832" t="s">
        <v>74</v>
      </c>
      <c r="S832" t="s">
        <v>74</v>
      </c>
      <c r="T832" t="s">
        <v>10903</v>
      </c>
      <c r="U832" t="s">
        <v>10904</v>
      </c>
      <c r="V832" t="s">
        <v>10905</v>
      </c>
      <c r="W832" t="s">
        <v>10906</v>
      </c>
      <c r="X832" t="s">
        <v>10907</v>
      </c>
      <c r="Y832" t="s">
        <v>10908</v>
      </c>
      <c r="Z832" t="s">
        <v>10909</v>
      </c>
      <c r="AA832" t="s">
        <v>10910</v>
      </c>
      <c r="AB832" t="s">
        <v>10911</v>
      </c>
      <c r="AC832" t="s">
        <v>74</v>
      </c>
      <c r="AD832" t="s">
        <v>74</v>
      </c>
      <c r="AE832" t="s">
        <v>74</v>
      </c>
      <c r="AF832" t="s">
        <v>74</v>
      </c>
      <c r="AG832">
        <v>277</v>
      </c>
      <c r="AH832">
        <v>66</v>
      </c>
      <c r="AI832">
        <v>76</v>
      </c>
      <c r="AJ832">
        <v>3</v>
      </c>
      <c r="AK832">
        <v>40</v>
      </c>
      <c r="AL832" t="s">
        <v>88</v>
      </c>
      <c r="AM832" t="s">
        <v>89</v>
      </c>
      <c r="AN832" t="s">
        <v>90</v>
      </c>
      <c r="AO832" t="s">
        <v>10912</v>
      </c>
      <c r="AP832" t="s">
        <v>10913</v>
      </c>
      <c r="AQ832" t="s">
        <v>74</v>
      </c>
      <c r="AR832" t="s">
        <v>10914</v>
      </c>
      <c r="AS832" t="s">
        <v>10915</v>
      </c>
      <c r="AT832" t="s">
        <v>9967</v>
      </c>
      <c r="AU832">
        <v>2008</v>
      </c>
      <c r="AV832">
        <v>29</v>
      </c>
      <c r="AW832">
        <v>1</v>
      </c>
      <c r="AX832" t="s">
        <v>74</v>
      </c>
      <c r="AY832" t="s">
        <v>74</v>
      </c>
      <c r="AZ832" t="s">
        <v>74</v>
      </c>
      <c r="BA832" t="s">
        <v>74</v>
      </c>
      <c r="BB832">
        <v>1</v>
      </c>
      <c r="BC832">
        <v>71</v>
      </c>
      <c r="BD832" t="s">
        <v>74</v>
      </c>
      <c r="BE832" t="s">
        <v>10916</v>
      </c>
      <c r="BF832" t="str">
        <f>HYPERLINK("http://dx.doi.org/10.1111/j.1439-0485.2007.00215.x","http://dx.doi.org/10.1111/j.1439-0485.2007.00215.x")</f>
        <v>http://dx.doi.org/10.1111/j.1439-0485.2007.00215.x</v>
      </c>
      <c r="BG832" t="s">
        <v>74</v>
      </c>
      <c r="BH832" t="s">
        <v>74</v>
      </c>
      <c r="BI832">
        <v>71</v>
      </c>
      <c r="BJ832" t="s">
        <v>5035</v>
      </c>
      <c r="BK832" t="s">
        <v>419</v>
      </c>
      <c r="BL832" t="s">
        <v>5035</v>
      </c>
      <c r="BM832" t="s">
        <v>10917</v>
      </c>
      <c r="BN832" t="s">
        <v>74</v>
      </c>
      <c r="BO832" t="s">
        <v>74</v>
      </c>
      <c r="BP832" t="s">
        <v>74</v>
      </c>
      <c r="BQ832" t="s">
        <v>74</v>
      </c>
      <c r="BR832" t="s">
        <v>101</v>
      </c>
      <c r="BS832" t="s">
        <v>10918</v>
      </c>
      <c r="BT832" t="str">
        <f>HYPERLINK("https%3A%2F%2Fwww.webofscience.com%2Fwos%2Fwoscc%2Ffull-record%2FWOS:000253489600001","View Full Record in Web of Science")</f>
        <v>View Full Record in Web of Science</v>
      </c>
    </row>
    <row r="833" spans="1:72" x14ac:dyDescent="0.15">
      <c r="A833" t="s">
        <v>72</v>
      </c>
      <c r="B833" t="s">
        <v>10919</v>
      </c>
      <c r="C833" t="s">
        <v>74</v>
      </c>
      <c r="D833" t="s">
        <v>74</v>
      </c>
      <c r="E833" t="s">
        <v>74</v>
      </c>
      <c r="F833" t="s">
        <v>10920</v>
      </c>
      <c r="G833" t="s">
        <v>74</v>
      </c>
      <c r="H833" t="s">
        <v>74</v>
      </c>
      <c r="I833" t="s">
        <v>10921</v>
      </c>
      <c r="J833" t="s">
        <v>10922</v>
      </c>
      <c r="K833" t="s">
        <v>74</v>
      </c>
      <c r="L833" t="s">
        <v>74</v>
      </c>
      <c r="M833" t="s">
        <v>78</v>
      </c>
      <c r="N833" t="s">
        <v>2737</v>
      </c>
      <c r="O833" t="s">
        <v>74</v>
      </c>
      <c r="P833" t="s">
        <v>74</v>
      </c>
      <c r="Q833" t="s">
        <v>74</v>
      </c>
      <c r="R833" t="s">
        <v>74</v>
      </c>
      <c r="S833" t="s">
        <v>74</v>
      </c>
      <c r="T833" t="s">
        <v>10923</v>
      </c>
      <c r="U833" t="s">
        <v>10924</v>
      </c>
      <c r="V833" t="s">
        <v>10925</v>
      </c>
      <c r="W833" t="s">
        <v>10926</v>
      </c>
      <c r="X833" t="s">
        <v>10927</v>
      </c>
      <c r="Y833" t="s">
        <v>10928</v>
      </c>
      <c r="Z833" t="s">
        <v>10929</v>
      </c>
      <c r="AA833" t="s">
        <v>10930</v>
      </c>
      <c r="AB833" t="s">
        <v>10931</v>
      </c>
      <c r="AC833" t="s">
        <v>74</v>
      </c>
      <c r="AD833" t="s">
        <v>74</v>
      </c>
      <c r="AE833" t="s">
        <v>74</v>
      </c>
      <c r="AF833" t="s">
        <v>74</v>
      </c>
      <c r="AG833">
        <v>10</v>
      </c>
      <c r="AH833">
        <v>4</v>
      </c>
      <c r="AI833">
        <v>4</v>
      </c>
      <c r="AJ833">
        <v>0</v>
      </c>
      <c r="AK833">
        <v>9</v>
      </c>
      <c r="AL833" t="s">
        <v>3257</v>
      </c>
      <c r="AM833" t="s">
        <v>3258</v>
      </c>
      <c r="AN833" t="s">
        <v>3259</v>
      </c>
      <c r="AO833" t="s">
        <v>10932</v>
      </c>
      <c r="AP833" t="s">
        <v>74</v>
      </c>
      <c r="AQ833" t="s">
        <v>74</v>
      </c>
      <c r="AR833" t="s">
        <v>10933</v>
      </c>
      <c r="AS833" t="s">
        <v>10934</v>
      </c>
      <c r="AT833" t="s">
        <v>9967</v>
      </c>
      <c r="AU833">
        <v>2008</v>
      </c>
      <c r="AV833">
        <v>1</v>
      </c>
      <c r="AW833">
        <v>1</v>
      </c>
      <c r="AX833" t="s">
        <v>74</v>
      </c>
      <c r="AY833" t="s">
        <v>74</v>
      </c>
      <c r="AZ833" t="s">
        <v>74</v>
      </c>
      <c r="BA833" t="s">
        <v>74</v>
      </c>
      <c r="BB833">
        <v>33</v>
      </c>
      <c r="BC833">
        <v>35</v>
      </c>
      <c r="BD833" t="s">
        <v>74</v>
      </c>
      <c r="BE833" t="s">
        <v>10935</v>
      </c>
      <c r="BF833" t="str">
        <f>HYPERLINK("http://dx.doi.org/10.1016/j.margen.2008.04.001","http://dx.doi.org/10.1016/j.margen.2008.04.001")</f>
        <v>http://dx.doi.org/10.1016/j.margen.2008.04.001</v>
      </c>
      <c r="BG833" t="s">
        <v>74</v>
      </c>
      <c r="BH833" t="s">
        <v>74</v>
      </c>
      <c r="BI833">
        <v>3</v>
      </c>
      <c r="BJ833" t="s">
        <v>10936</v>
      </c>
      <c r="BK833" t="s">
        <v>419</v>
      </c>
      <c r="BL833" t="s">
        <v>10936</v>
      </c>
      <c r="BM833" t="s">
        <v>10937</v>
      </c>
      <c r="BN833">
        <v>21798151</v>
      </c>
      <c r="BO833" t="s">
        <v>3311</v>
      </c>
      <c r="BP833" t="s">
        <v>74</v>
      </c>
      <c r="BQ833" t="s">
        <v>74</v>
      </c>
      <c r="BR833" t="s">
        <v>101</v>
      </c>
      <c r="BS833" t="s">
        <v>10938</v>
      </c>
      <c r="BT833" t="str">
        <f>HYPERLINK("https%3A%2F%2Fwww.webofscience.com%2Fwos%2Fwoscc%2Ffull-record%2FWOS:000273630500006","View Full Record in Web of Science")</f>
        <v>View Full Record in Web of Science</v>
      </c>
    </row>
    <row r="834" spans="1:72" x14ac:dyDescent="0.15">
      <c r="A834" t="s">
        <v>72</v>
      </c>
      <c r="B834" t="s">
        <v>10939</v>
      </c>
      <c r="C834" t="s">
        <v>74</v>
      </c>
      <c r="D834" t="s">
        <v>74</v>
      </c>
      <c r="E834" t="s">
        <v>74</v>
      </c>
      <c r="F834" t="s">
        <v>10940</v>
      </c>
      <c r="G834" t="s">
        <v>74</v>
      </c>
      <c r="H834" t="s">
        <v>74</v>
      </c>
      <c r="I834" t="s">
        <v>10941</v>
      </c>
      <c r="J834" t="s">
        <v>10942</v>
      </c>
      <c r="K834" t="s">
        <v>74</v>
      </c>
      <c r="L834" t="s">
        <v>74</v>
      </c>
      <c r="M834" t="s">
        <v>78</v>
      </c>
      <c r="N834" t="s">
        <v>2737</v>
      </c>
      <c r="O834" t="s">
        <v>74</v>
      </c>
      <c r="P834" t="s">
        <v>74</v>
      </c>
      <c r="Q834" t="s">
        <v>74</v>
      </c>
      <c r="R834" t="s">
        <v>74</v>
      </c>
      <c r="S834" t="s">
        <v>74</v>
      </c>
      <c r="T834" t="s">
        <v>10943</v>
      </c>
      <c r="U834" t="s">
        <v>10944</v>
      </c>
      <c r="V834" t="s">
        <v>10945</v>
      </c>
      <c r="W834" t="s">
        <v>10946</v>
      </c>
      <c r="X834" t="s">
        <v>10947</v>
      </c>
      <c r="Y834" t="s">
        <v>10948</v>
      </c>
      <c r="Z834" t="s">
        <v>10949</v>
      </c>
      <c r="AA834" t="s">
        <v>10950</v>
      </c>
      <c r="AB834" t="s">
        <v>10951</v>
      </c>
      <c r="AC834" t="s">
        <v>74</v>
      </c>
      <c r="AD834" t="s">
        <v>74</v>
      </c>
      <c r="AE834" t="s">
        <v>74</v>
      </c>
      <c r="AF834" t="s">
        <v>74</v>
      </c>
      <c r="AG834">
        <v>50</v>
      </c>
      <c r="AH834">
        <v>7</v>
      </c>
      <c r="AI834">
        <v>8</v>
      </c>
      <c r="AJ834">
        <v>2</v>
      </c>
      <c r="AK834">
        <v>45</v>
      </c>
      <c r="AL834" t="s">
        <v>3007</v>
      </c>
      <c r="AM834" t="s">
        <v>3008</v>
      </c>
      <c r="AN834" t="s">
        <v>3009</v>
      </c>
      <c r="AO834" t="s">
        <v>10952</v>
      </c>
      <c r="AP834" t="s">
        <v>10953</v>
      </c>
      <c r="AQ834" t="s">
        <v>74</v>
      </c>
      <c r="AR834" t="s">
        <v>10954</v>
      </c>
      <c r="AS834" t="s">
        <v>10955</v>
      </c>
      <c r="AT834" t="s">
        <v>9967</v>
      </c>
      <c r="AU834">
        <v>2008</v>
      </c>
      <c r="AV834">
        <v>56</v>
      </c>
      <c r="AW834">
        <v>3</v>
      </c>
      <c r="AX834" t="s">
        <v>74</v>
      </c>
      <c r="AY834" t="s">
        <v>74</v>
      </c>
      <c r="AZ834" t="s">
        <v>74</v>
      </c>
      <c r="BA834" t="s">
        <v>74</v>
      </c>
      <c r="BB834">
        <v>516</v>
      </c>
      <c r="BC834">
        <v>524</v>
      </c>
      <c r="BD834" t="s">
        <v>74</v>
      </c>
      <c r="BE834" t="s">
        <v>10956</v>
      </c>
      <c r="BF834" t="str">
        <f>HYPERLINK("http://dx.doi.org/10.1016/j.marpolbul.2007.11.015","http://dx.doi.org/10.1016/j.marpolbul.2007.11.015")</f>
        <v>http://dx.doi.org/10.1016/j.marpolbul.2007.11.015</v>
      </c>
      <c r="BG834" t="s">
        <v>74</v>
      </c>
      <c r="BH834" t="s">
        <v>74</v>
      </c>
      <c r="BI834">
        <v>9</v>
      </c>
      <c r="BJ834" t="s">
        <v>10957</v>
      </c>
      <c r="BK834" t="s">
        <v>419</v>
      </c>
      <c r="BL834" t="s">
        <v>3941</v>
      </c>
      <c r="BM834" t="s">
        <v>10958</v>
      </c>
      <c r="BN834">
        <v>18191420</v>
      </c>
      <c r="BO834" t="s">
        <v>74</v>
      </c>
      <c r="BP834" t="s">
        <v>74</v>
      </c>
      <c r="BQ834" t="s">
        <v>74</v>
      </c>
      <c r="BR834" t="s">
        <v>101</v>
      </c>
      <c r="BS834" t="s">
        <v>10959</v>
      </c>
      <c r="BT834" t="str">
        <f>HYPERLINK("https%3A%2F%2Fwww.webofscience.com%2Fwos%2Fwoscc%2Ffull-record%2FWOS:000255237000023","View Full Record in Web of Science")</f>
        <v>View Full Record in Web of Science</v>
      </c>
    </row>
    <row r="835" spans="1:72" x14ac:dyDescent="0.15">
      <c r="A835" t="s">
        <v>72</v>
      </c>
      <c r="B835" t="s">
        <v>10960</v>
      </c>
      <c r="C835" t="s">
        <v>74</v>
      </c>
      <c r="D835" t="s">
        <v>74</v>
      </c>
      <c r="E835" t="s">
        <v>74</v>
      </c>
      <c r="F835" t="s">
        <v>10961</v>
      </c>
      <c r="G835" t="s">
        <v>74</v>
      </c>
      <c r="H835" t="s">
        <v>74</v>
      </c>
      <c r="I835" t="s">
        <v>10962</v>
      </c>
      <c r="J835" t="s">
        <v>77</v>
      </c>
      <c r="K835" t="s">
        <v>74</v>
      </c>
      <c r="L835" t="s">
        <v>74</v>
      </c>
      <c r="M835" t="s">
        <v>78</v>
      </c>
      <c r="N835" t="s">
        <v>2737</v>
      </c>
      <c r="O835" t="s">
        <v>74</v>
      </c>
      <c r="P835" t="s">
        <v>74</v>
      </c>
      <c r="Q835" t="s">
        <v>74</v>
      </c>
      <c r="R835" t="s">
        <v>74</v>
      </c>
      <c r="S835" t="s">
        <v>74</v>
      </c>
      <c r="T835" t="s">
        <v>74</v>
      </c>
      <c r="U835" t="s">
        <v>10963</v>
      </c>
      <c r="V835" t="s">
        <v>10964</v>
      </c>
      <c r="W835" t="s">
        <v>10965</v>
      </c>
      <c r="X835" t="s">
        <v>10966</v>
      </c>
      <c r="Y835" t="s">
        <v>10967</v>
      </c>
      <c r="Z835" t="s">
        <v>480</v>
      </c>
      <c r="AA835" t="s">
        <v>74</v>
      </c>
      <c r="AB835" t="s">
        <v>74</v>
      </c>
      <c r="AC835" t="s">
        <v>74</v>
      </c>
      <c r="AD835" t="s">
        <v>74</v>
      </c>
      <c r="AE835" t="s">
        <v>74</v>
      </c>
      <c r="AF835" t="s">
        <v>74</v>
      </c>
      <c r="AG835">
        <v>83</v>
      </c>
      <c r="AH835">
        <v>189</v>
      </c>
      <c r="AI835">
        <v>194</v>
      </c>
      <c r="AJ835">
        <v>0</v>
      </c>
      <c r="AK835">
        <v>36</v>
      </c>
      <c r="AL835" t="s">
        <v>109</v>
      </c>
      <c r="AM835" t="s">
        <v>110</v>
      </c>
      <c r="AN835" t="s">
        <v>111</v>
      </c>
      <c r="AO835" t="s">
        <v>91</v>
      </c>
      <c r="AP835" t="s">
        <v>74</v>
      </c>
      <c r="AQ835" t="s">
        <v>74</v>
      </c>
      <c r="AR835" t="s">
        <v>93</v>
      </c>
      <c r="AS835" t="s">
        <v>94</v>
      </c>
      <c r="AT835" t="s">
        <v>9967</v>
      </c>
      <c r="AU835">
        <v>2008</v>
      </c>
      <c r="AV835">
        <v>43</v>
      </c>
      <c r="AW835">
        <v>3</v>
      </c>
      <c r="AX835" t="s">
        <v>74</v>
      </c>
      <c r="AY835" t="s">
        <v>74</v>
      </c>
      <c r="AZ835" t="s">
        <v>74</v>
      </c>
      <c r="BA835" t="s">
        <v>74</v>
      </c>
      <c r="BB835">
        <v>497</v>
      </c>
      <c r="BC835">
        <v>515</v>
      </c>
      <c r="BD835" t="s">
        <v>74</v>
      </c>
      <c r="BE835" t="s">
        <v>10968</v>
      </c>
      <c r="BF835" t="str">
        <f>HYPERLINK("http://dx.doi.org/10.1111/j.1945-5100.2008.tb00668.x","http://dx.doi.org/10.1111/j.1945-5100.2008.tb00668.x")</f>
        <v>http://dx.doi.org/10.1111/j.1945-5100.2008.tb00668.x</v>
      </c>
      <c r="BG835" t="s">
        <v>74</v>
      </c>
      <c r="BH835" t="s">
        <v>74</v>
      </c>
      <c r="BI835">
        <v>19</v>
      </c>
      <c r="BJ835" t="s">
        <v>98</v>
      </c>
      <c r="BK835" t="s">
        <v>419</v>
      </c>
      <c r="BL835" t="s">
        <v>98</v>
      </c>
      <c r="BM835" t="s">
        <v>10969</v>
      </c>
      <c r="BN835" t="s">
        <v>74</v>
      </c>
      <c r="BO835" t="s">
        <v>74</v>
      </c>
      <c r="BP835" t="s">
        <v>74</v>
      </c>
      <c r="BQ835" t="s">
        <v>74</v>
      </c>
      <c r="BR835" t="s">
        <v>101</v>
      </c>
      <c r="BS835" t="s">
        <v>10970</v>
      </c>
      <c r="BT835" t="str">
        <f>HYPERLINK("https%3A%2F%2Fwww.webofscience.com%2Fwos%2Fwoscc%2Ffull-record%2FWOS:000258566500005","View Full Record in Web of Science")</f>
        <v>View Full Record in Web of Science</v>
      </c>
    </row>
    <row r="836" spans="1:72" x14ac:dyDescent="0.15">
      <c r="A836" t="s">
        <v>72</v>
      </c>
      <c r="B836" t="s">
        <v>10971</v>
      </c>
      <c r="C836" t="s">
        <v>74</v>
      </c>
      <c r="D836" t="s">
        <v>74</v>
      </c>
      <c r="E836" t="s">
        <v>74</v>
      </c>
      <c r="F836" t="s">
        <v>10972</v>
      </c>
      <c r="G836" t="s">
        <v>74</v>
      </c>
      <c r="H836" t="s">
        <v>74</v>
      </c>
      <c r="I836" t="s">
        <v>10973</v>
      </c>
      <c r="J836" t="s">
        <v>77</v>
      </c>
      <c r="K836" t="s">
        <v>74</v>
      </c>
      <c r="L836" t="s">
        <v>74</v>
      </c>
      <c r="M836" t="s">
        <v>78</v>
      </c>
      <c r="N836" t="s">
        <v>2737</v>
      </c>
      <c r="O836" t="s">
        <v>74</v>
      </c>
      <c r="P836" t="s">
        <v>74</v>
      </c>
      <c r="Q836" t="s">
        <v>74</v>
      </c>
      <c r="R836" t="s">
        <v>74</v>
      </c>
      <c r="S836" t="s">
        <v>74</v>
      </c>
      <c r="T836" t="s">
        <v>74</v>
      </c>
      <c r="U836" t="s">
        <v>74</v>
      </c>
      <c r="V836" t="s">
        <v>10974</v>
      </c>
      <c r="W836" t="s">
        <v>10975</v>
      </c>
      <c r="X836" t="s">
        <v>10976</v>
      </c>
      <c r="Y836" t="s">
        <v>10977</v>
      </c>
      <c r="Z836" t="s">
        <v>10978</v>
      </c>
      <c r="AA836" t="s">
        <v>10979</v>
      </c>
      <c r="AB836" t="s">
        <v>10980</v>
      </c>
      <c r="AC836" t="s">
        <v>74</v>
      </c>
      <c r="AD836" t="s">
        <v>74</v>
      </c>
      <c r="AE836" t="s">
        <v>74</v>
      </c>
      <c r="AF836" t="s">
        <v>74</v>
      </c>
      <c r="AG836">
        <v>3</v>
      </c>
      <c r="AH836">
        <v>52</v>
      </c>
      <c r="AI836">
        <v>61</v>
      </c>
      <c r="AJ836">
        <v>0</v>
      </c>
      <c r="AK836">
        <v>8</v>
      </c>
      <c r="AL836" t="s">
        <v>88</v>
      </c>
      <c r="AM836" t="s">
        <v>89</v>
      </c>
      <c r="AN836" t="s">
        <v>90</v>
      </c>
      <c r="AO836" t="s">
        <v>91</v>
      </c>
      <c r="AP836" t="s">
        <v>92</v>
      </c>
      <c r="AQ836" t="s">
        <v>74</v>
      </c>
      <c r="AR836" t="s">
        <v>93</v>
      </c>
      <c r="AS836" t="s">
        <v>94</v>
      </c>
      <c r="AT836" t="s">
        <v>9967</v>
      </c>
      <c r="AU836">
        <v>2008</v>
      </c>
      <c r="AV836">
        <v>43</v>
      </c>
      <c r="AW836">
        <v>3</v>
      </c>
      <c r="AX836" t="s">
        <v>74</v>
      </c>
      <c r="AY836" t="s">
        <v>74</v>
      </c>
      <c r="AZ836" t="s">
        <v>74</v>
      </c>
      <c r="BA836" t="s">
        <v>74</v>
      </c>
      <c r="BB836">
        <v>571</v>
      </c>
      <c r="BC836">
        <v>632</v>
      </c>
      <c r="BD836" t="s">
        <v>74</v>
      </c>
      <c r="BE836" t="s">
        <v>10981</v>
      </c>
      <c r="BF836" t="str">
        <f>HYPERLINK("http://dx.doi.org/10.1111/j.1945-5100.2008.tb00673.x","http://dx.doi.org/10.1111/j.1945-5100.2008.tb00673.x")</f>
        <v>http://dx.doi.org/10.1111/j.1945-5100.2008.tb00673.x</v>
      </c>
      <c r="BG836" t="s">
        <v>74</v>
      </c>
      <c r="BH836" t="s">
        <v>74</v>
      </c>
      <c r="BI836">
        <v>62</v>
      </c>
      <c r="BJ836" t="s">
        <v>98</v>
      </c>
      <c r="BK836" t="s">
        <v>419</v>
      </c>
      <c r="BL836" t="s">
        <v>98</v>
      </c>
      <c r="BM836" t="s">
        <v>10969</v>
      </c>
      <c r="BN836" t="s">
        <v>74</v>
      </c>
      <c r="BO836" t="s">
        <v>3290</v>
      </c>
      <c r="BP836" t="s">
        <v>74</v>
      </c>
      <c r="BQ836" t="s">
        <v>74</v>
      </c>
      <c r="BR836" t="s">
        <v>101</v>
      </c>
      <c r="BS836" t="s">
        <v>10982</v>
      </c>
      <c r="BT836" t="str">
        <f>HYPERLINK("https%3A%2F%2Fwww.webofscience.com%2Fwos%2Fwoscc%2Ffull-record%2FWOS:000258566500010","View Full Record in Web of Science")</f>
        <v>View Full Record in Web of Science</v>
      </c>
    </row>
    <row r="837" spans="1:72" x14ac:dyDescent="0.15">
      <c r="A837" t="s">
        <v>72</v>
      </c>
      <c r="B837" t="s">
        <v>10983</v>
      </c>
      <c r="C837" t="s">
        <v>74</v>
      </c>
      <c r="D837" t="s">
        <v>74</v>
      </c>
      <c r="E837" t="s">
        <v>74</v>
      </c>
      <c r="F837" t="s">
        <v>10984</v>
      </c>
      <c r="G837" t="s">
        <v>74</v>
      </c>
      <c r="H837" t="s">
        <v>74</v>
      </c>
      <c r="I837" t="s">
        <v>10985</v>
      </c>
      <c r="J837" t="s">
        <v>10986</v>
      </c>
      <c r="K837" t="s">
        <v>74</v>
      </c>
      <c r="L837" t="s">
        <v>74</v>
      </c>
      <c r="M837" t="s">
        <v>78</v>
      </c>
      <c r="N837" t="s">
        <v>2737</v>
      </c>
      <c r="O837" t="s">
        <v>74</v>
      </c>
      <c r="P837" t="s">
        <v>74</v>
      </c>
      <c r="Q837" t="s">
        <v>74</v>
      </c>
      <c r="R837" t="s">
        <v>74</v>
      </c>
      <c r="S837" t="s">
        <v>74</v>
      </c>
      <c r="T837" t="s">
        <v>10987</v>
      </c>
      <c r="U837" t="s">
        <v>10988</v>
      </c>
      <c r="V837" t="s">
        <v>10989</v>
      </c>
      <c r="W837" t="s">
        <v>10990</v>
      </c>
      <c r="X837" t="s">
        <v>10991</v>
      </c>
      <c r="Y837" t="s">
        <v>10992</v>
      </c>
      <c r="Z837" t="s">
        <v>10993</v>
      </c>
      <c r="AA837" t="s">
        <v>10994</v>
      </c>
      <c r="AB837" t="s">
        <v>10995</v>
      </c>
      <c r="AC837" t="s">
        <v>74</v>
      </c>
      <c r="AD837" t="s">
        <v>74</v>
      </c>
      <c r="AE837" t="s">
        <v>74</v>
      </c>
      <c r="AF837" t="s">
        <v>74</v>
      </c>
      <c r="AG837">
        <v>18</v>
      </c>
      <c r="AH837">
        <v>17</v>
      </c>
      <c r="AI837">
        <v>18</v>
      </c>
      <c r="AJ837">
        <v>0</v>
      </c>
      <c r="AK837">
        <v>1</v>
      </c>
      <c r="AL837" t="s">
        <v>88</v>
      </c>
      <c r="AM837" t="s">
        <v>89</v>
      </c>
      <c r="AN837" t="s">
        <v>90</v>
      </c>
      <c r="AO837" t="s">
        <v>10996</v>
      </c>
      <c r="AP837" t="s">
        <v>10997</v>
      </c>
      <c r="AQ837" t="s">
        <v>74</v>
      </c>
      <c r="AR837" t="s">
        <v>10998</v>
      </c>
      <c r="AS837" t="s">
        <v>10999</v>
      </c>
      <c r="AT837" t="s">
        <v>9967</v>
      </c>
      <c r="AU837">
        <v>2008</v>
      </c>
      <c r="AV837">
        <v>8</v>
      </c>
      <c r="AW837">
        <v>2</v>
      </c>
      <c r="AX837" t="s">
        <v>74</v>
      </c>
      <c r="AY837" t="s">
        <v>74</v>
      </c>
      <c r="AZ837" t="s">
        <v>74</v>
      </c>
      <c r="BA837" t="s">
        <v>74</v>
      </c>
      <c r="BB837">
        <v>459</v>
      </c>
      <c r="BC837">
        <v>461</v>
      </c>
      <c r="BD837" t="s">
        <v>74</v>
      </c>
      <c r="BE837" t="s">
        <v>11000</v>
      </c>
      <c r="BF837" t="str">
        <f>HYPERLINK("http://dx.doi.org/10.1111/j.1471-8286.2007.01993.x","http://dx.doi.org/10.1111/j.1471-8286.2007.01993.x")</f>
        <v>http://dx.doi.org/10.1111/j.1471-8286.2007.01993.x</v>
      </c>
      <c r="BG837" t="s">
        <v>74</v>
      </c>
      <c r="BH837" t="s">
        <v>74</v>
      </c>
      <c r="BI837">
        <v>3</v>
      </c>
      <c r="BJ837" t="s">
        <v>2774</v>
      </c>
      <c r="BK837" t="s">
        <v>419</v>
      </c>
      <c r="BL837" t="s">
        <v>2775</v>
      </c>
      <c r="BM837" t="s">
        <v>11001</v>
      </c>
      <c r="BN837">
        <v>21585821</v>
      </c>
      <c r="BO837" t="s">
        <v>74</v>
      </c>
      <c r="BP837" t="s">
        <v>74</v>
      </c>
      <c r="BQ837" t="s">
        <v>74</v>
      </c>
      <c r="BR837" t="s">
        <v>101</v>
      </c>
      <c r="BS837" t="s">
        <v>11002</v>
      </c>
      <c r="BT837" t="str">
        <f>HYPERLINK("https%3A%2F%2Fwww.webofscience.com%2Fwos%2Fwoscc%2Ffull-record%2FWOS:000253827300057","View Full Record in Web of Science")</f>
        <v>View Full Record in Web of Science</v>
      </c>
    </row>
    <row r="838" spans="1:72" x14ac:dyDescent="0.15">
      <c r="A838" t="s">
        <v>72</v>
      </c>
      <c r="B838" t="s">
        <v>11003</v>
      </c>
      <c r="C838" t="s">
        <v>74</v>
      </c>
      <c r="D838" t="s">
        <v>74</v>
      </c>
      <c r="E838" t="s">
        <v>74</v>
      </c>
      <c r="F838" t="s">
        <v>11004</v>
      </c>
      <c r="G838" t="s">
        <v>74</v>
      </c>
      <c r="H838" t="s">
        <v>74</v>
      </c>
      <c r="I838" t="s">
        <v>11005</v>
      </c>
      <c r="J838" t="s">
        <v>11006</v>
      </c>
      <c r="K838" t="s">
        <v>74</v>
      </c>
      <c r="L838" t="s">
        <v>74</v>
      </c>
      <c r="M838" t="s">
        <v>78</v>
      </c>
      <c r="N838" t="s">
        <v>2958</v>
      </c>
      <c r="O838" t="s">
        <v>74</v>
      </c>
      <c r="P838" t="s">
        <v>74</v>
      </c>
      <c r="Q838" t="s">
        <v>74</v>
      </c>
      <c r="R838" t="s">
        <v>74</v>
      </c>
      <c r="S838" t="s">
        <v>74</v>
      </c>
      <c r="T838" t="s">
        <v>11007</v>
      </c>
      <c r="U838" t="s">
        <v>11008</v>
      </c>
      <c r="V838" t="s">
        <v>11009</v>
      </c>
      <c r="W838" t="s">
        <v>11010</v>
      </c>
      <c r="X838" t="s">
        <v>11011</v>
      </c>
      <c r="Y838" t="s">
        <v>11012</v>
      </c>
      <c r="Z838" t="s">
        <v>11013</v>
      </c>
      <c r="AA838" t="s">
        <v>74</v>
      </c>
      <c r="AB838" t="s">
        <v>74</v>
      </c>
      <c r="AC838" t="s">
        <v>74</v>
      </c>
      <c r="AD838" t="s">
        <v>74</v>
      </c>
      <c r="AE838" t="s">
        <v>74</v>
      </c>
      <c r="AF838" t="s">
        <v>74</v>
      </c>
      <c r="AG838">
        <v>132</v>
      </c>
      <c r="AH838">
        <v>23</v>
      </c>
      <c r="AI838">
        <v>24</v>
      </c>
      <c r="AJ838">
        <v>2</v>
      </c>
      <c r="AK838">
        <v>23</v>
      </c>
      <c r="AL838" t="s">
        <v>2815</v>
      </c>
      <c r="AM838" t="s">
        <v>2816</v>
      </c>
      <c r="AN838" t="s">
        <v>11014</v>
      </c>
      <c r="AO838" t="s">
        <v>11015</v>
      </c>
      <c r="AP838" t="s">
        <v>74</v>
      </c>
      <c r="AQ838" t="s">
        <v>74</v>
      </c>
      <c r="AR838" t="s">
        <v>11016</v>
      </c>
      <c r="AS838" t="s">
        <v>11017</v>
      </c>
      <c r="AT838" t="s">
        <v>9967</v>
      </c>
      <c r="AU838">
        <v>2008</v>
      </c>
      <c r="AV838">
        <v>51</v>
      </c>
      <c r="AW838">
        <v>1</v>
      </c>
      <c r="AX838" t="s">
        <v>74</v>
      </c>
      <c r="AY838" t="s">
        <v>74</v>
      </c>
      <c r="AZ838" t="s">
        <v>74</v>
      </c>
      <c r="BA838" t="s">
        <v>74</v>
      </c>
      <c r="BB838">
        <v>1</v>
      </c>
      <c r="BC838">
        <v>22</v>
      </c>
      <c r="BD838" t="s">
        <v>74</v>
      </c>
      <c r="BE838" t="s">
        <v>11018</v>
      </c>
      <c r="BF838" t="str">
        <f>HYPERLINK("http://dx.doi.org/10.1080/00288300809509846","http://dx.doi.org/10.1080/00288300809509846")</f>
        <v>http://dx.doi.org/10.1080/00288300809509846</v>
      </c>
      <c r="BG838" t="s">
        <v>74</v>
      </c>
      <c r="BH838" t="s">
        <v>74</v>
      </c>
      <c r="BI838">
        <v>22</v>
      </c>
      <c r="BJ838" t="s">
        <v>11019</v>
      </c>
      <c r="BK838" t="s">
        <v>419</v>
      </c>
      <c r="BL838" t="s">
        <v>3094</v>
      </c>
      <c r="BM838" t="s">
        <v>11020</v>
      </c>
      <c r="BN838" t="s">
        <v>74</v>
      </c>
      <c r="BO838" t="s">
        <v>3290</v>
      </c>
      <c r="BP838" t="s">
        <v>74</v>
      </c>
      <c r="BQ838" t="s">
        <v>74</v>
      </c>
      <c r="BR838" t="s">
        <v>101</v>
      </c>
      <c r="BS838" t="s">
        <v>11021</v>
      </c>
      <c r="BT838" t="str">
        <f>HYPERLINK("https%3A%2F%2Fwww.webofscience.com%2Fwos%2Fwoscc%2Ffull-record%2FWOS:000255152500001","View Full Record in Web of Science")</f>
        <v>View Full Record in Web of Science</v>
      </c>
    </row>
    <row r="839" spans="1:72" x14ac:dyDescent="0.15">
      <c r="A839" t="s">
        <v>72</v>
      </c>
      <c r="B839" t="s">
        <v>11022</v>
      </c>
      <c r="C839" t="s">
        <v>74</v>
      </c>
      <c r="D839" t="s">
        <v>74</v>
      </c>
      <c r="E839" t="s">
        <v>74</v>
      </c>
      <c r="F839" t="s">
        <v>11023</v>
      </c>
      <c r="G839" t="s">
        <v>74</v>
      </c>
      <c r="H839" t="s">
        <v>74</v>
      </c>
      <c r="I839" t="s">
        <v>11024</v>
      </c>
      <c r="J839" t="s">
        <v>11025</v>
      </c>
      <c r="K839" t="s">
        <v>74</v>
      </c>
      <c r="L839" t="s">
        <v>74</v>
      </c>
      <c r="M839" t="s">
        <v>78</v>
      </c>
      <c r="N839" t="s">
        <v>2737</v>
      </c>
      <c r="O839" t="s">
        <v>74</v>
      </c>
      <c r="P839" t="s">
        <v>74</v>
      </c>
      <c r="Q839" t="s">
        <v>74</v>
      </c>
      <c r="R839" t="s">
        <v>74</v>
      </c>
      <c r="S839" t="s">
        <v>74</v>
      </c>
      <c r="T839" t="s">
        <v>74</v>
      </c>
      <c r="U839" t="s">
        <v>11026</v>
      </c>
      <c r="V839" t="s">
        <v>11027</v>
      </c>
      <c r="W839" t="s">
        <v>11028</v>
      </c>
      <c r="X839" t="s">
        <v>11029</v>
      </c>
      <c r="Y839" t="s">
        <v>11030</v>
      </c>
      <c r="Z839" t="s">
        <v>74</v>
      </c>
      <c r="AA839" t="s">
        <v>11031</v>
      </c>
      <c r="AB839" t="s">
        <v>74</v>
      </c>
      <c r="AC839" t="s">
        <v>11032</v>
      </c>
      <c r="AD839" t="s">
        <v>11033</v>
      </c>
      <c r="AE839" t="s">
        <v>11034</v>
      </c>
      <c r="AF839" t="s">
        <v>74</v>
      </c>
      <c r="AG839">
        <v>56</v>
      </c>
      <c r="AH839">
        <v>0</v>
      </c>
      <c r="AI839">
        <v>0</v>
      </c>
      <c r="AJ839">
        <v>0</v>
      </c>
      <c r="AK839">
        <v>0</v>
      </c>
      <c r="AL839" t="s">
        <v>11035</v>
      </c>
      <c r="AM839" t="s">
        <v>11036</v>
      </c>
      <c r="AN839" t="s">
        <v>11037</v>
      </c>
      <c r="AO839" t="s">
        <v>11038</v>
      </c>
      <c r="AP839" t="s">
        <v>11039</v>
      </c>
      <c r="AQ839" t="s">
        <v>74</v>
      </c>
      <c r="AR839" t="s">
        <v>11040</v>
      </c>
      <c r="AS839" t="s">
        <v>11041</v>
      </c>
      <c r="AT839" t="s">
        <v>10388</v>
      </c>
      <c r="AU839">
        <v>2008</v>
      </c>
      <c r="AV839">
        <v>31</v>
      </c>
      <c r="AW839">
        <v>2</v>
      </c>
      <c r="AX839" t="s">
        <v>74</v>
      </c>
      <c r="AY839" t="s">
        <v>74</v>
      </c>
      <c r="AZ839" t="s">
        <v>74</v>
      </c>
      <c r="BA839" t="s">
        <v>74</v>
      </c>
      <c r="BB839">
        <v>157</v>
      </c>
      <c r="BC839">
        <v>173</v>
      </c>
      <c r="BD839" t="s">
        <v>74</v>
      </c>
      <c r="BE839" t="s">
        <v>11042</v>
      </c>
      <c r="BF839" t="str">
        <f>HYPERLINK("http://dx.doi.org/10.1393/ncc/i2008-10289-1","http://dx.doi.org/10.1393/ncc/i2008-10289-1")</f>
        <v>http://dx.doi.org/10.1393/ncc/i2008-10289-1</v>
      </c>
      <c r="BG839" t="s">
        <v>74</v>
      </c>
      <c r="BH839" t="s">
        <v>74</v>
      </c>
      <c r="BI839">
        <v>17</v>
      </c>
      <c r="BJ839" t="s">
        <v>6255</v>
      </c>
      <c r="BK839" t="s">
        <v>3156</v>
      </c>
      <c r="BL839" t="s">
        <v>6256</v>
      </c>
      <c r="BM839" t="s">
        <v>11043</v>
      </c>
      <c r="BN839" t="s">
        <v>74</v>
      </c>
      <c r="BO839" t="s">
        <v>74</v>
      </c>
      <c r="BP839" t="s">
        <v>74</v>
      </c>
      <c r="BQ839" t="s">
        <v>74</v>
      </c>
      <c r="BR839" t="s">
        <v>101</v>
      </c>
      <c r="BS839" t="s">
        <v>11044</v>
      </c>
      <c r="BT839" t="str">
        <f>HYPERLINK("https%3A%2F%2Fwww.webofscience.com%2Fwos%2Fwoscc%2Ffull-record%2FWOS:000421734600004","View Full Record in Web of Science")</f>
        <v>View Full Record in Web of Science</v>
      </c>
    </row>
    <row r="840" spans="1:72" x14ac:dyDescent="0.15">
      <c r="A840" t="s">
        <v>72</v>
      </c>
      <c r="B840" t="s">
        <v>11022</v>
      </c>
      <c r="C840" t="s">
        <v>74</v>
      </c>
      <c r="D840" t="s">
        <v>74</v>
      </c>
      <c r="E840" t="s">
        <v>74</v>
      </c>
      <c r="F840" t="s">
        <v>11023</v>
      </c>
      <c r="G840" t="s">
        <v>74</v>
      </c>
      <c r="H840" t="s">
        <v>74</v>
      </c>
      <c r="I840" t="s">
        <v>11024</v>
      </c>
      <c r="J840" t="s">
        <v>11045</v>
      </c>
      <c r="K840" t="s">
        <v>74</v>
      </c>
      <c r="L840" t="s">
        <v>74</v>
      </c>
      <c r="M840" t="s">
        <v>78</v>
      </c>
      <c r="N840" t="s">
        <v>2737</v>
      </c>
      <c r="O840" t="s">
        <v>74</v>
      </c>
      <c r="P840" t="s">
        <v>74</v>
      </c>
      <c r="Q840" t="s">
        <v>74</v>
      </c>
      <c r="R840" t="s">
        <v>74</v>
      </c>
      <c r="S840" t="s">
        <v>74</v>
      </c>
      <c r="T840" t="s">
        <v>74</v>
      </c>
      <c r="U840" t="s">
        <v>11046</v>
      </c>
      <c r="V840" t="s">
        <v>11047</v>
      </c>
      <c r="W840" t="s">
        <v>11048</v>
      </c>
      <c r="X840" t="s">
        <v>11029</v>
      </c>
      <c r="Y840" t="s">
        <v>11049</v>
      </c>
      <c r="Z840" t="s">
        <v>74</v>
      </c>
      <c r="AA840" t="s">
        <v>11050</v>
      </c>
      <c r="AB840" t="s">
        <v>11051</v>
      </c>
      <c r="AC840" t="s">
        <v>11032</v>
      </c>
      <c r="AD840" t="s">
        <v>11033</v>
      </c>
      <c r="AE840" t="s">
        <v>11052</v>
      </c>
      <c r="AF840" t="s">
        <v>74</v>
      </c>
      <c r="AG840">
        <v>65</v>
      </c>
      <c r="AH840">
        <v>1</v>
      </c>
      <c r="AI840">
        <v>1</v>
      </c>
      <c r="AJ840">
        <v>0</v>
      </c>
      <c r="AK840">
        <v>4</v>
      </c>
      <c r="AL840" t="s">
        <v>11035</v>
      </c>
      <c r="AM840" t="s">
        <v>11036</v>
      </c>
      <c r="AN840" t="s">
        <v>11037</v>
      </c>
      <c r="AO840" t="s">
        <v>11053</v>
      </c>
      <c r="AP840" t="s">
        <v>74</v>
      </c>
      <c r="AQ840" t="s">
        <v>74</v>
      </c>
      <c r="AR840" t="s">
        <v>11054</v>
      </c>
      <c r="AS840" t="s">
        <v>11055</v>
      </c>
      <c r="AT840" t="s">
        <v>10388</v>
      </c>
      <c r="AU840">
        <v>2008</v>
      </c>
      <c r="AV840">
        <v>31</v>
      </c>
      <c r="AW840">
        <v>2</v>
      </c>
      <c r="AX840" t="s">
        <v>74</v>
      </c>
      <c r="AY840" t="s">
        <v>74</v>
      </c>
      <c r="AZ840" t="s">
        <v>74</v>
      </c>
      <c r="BA840" t="s">
        <v>74</v>
      </c>
      <c r="BB840">
        <v>157</v>
      </c>
      <c r="BC840">
        <v>173</v>
      </c>
      <c r="BD840" t="s">
        <v>74</v>
      </c>
      <c r="BE840" t="s">
        <v>11042</v>
      </c>
      <c r="BF840" t="str">
        <f>HYPERLINK("http://dx.doi.org/10.1393/ncc/i2008-10289-1","http://dx.doi.org/10.1393/ncc/i2008-10289-1")</f>
        <v>http://dx.doi.org/10.1393/ncc/i2008-10289-1</v>
      </c>
      <c r="BG840" t="s">
        <v>74</v>
      </c>
      <c r="BH840" t="s">
        <v>74</v>
      </c>
      <c r="BI840">
        <v>17</v>
      </c>
      <c r="BJ840" t="s">
        <v>74</v>
      </c>
      <c r="BK840" t="s">
        <v>419</v>
      </c>
      <c r="BL840" t="s">
        <v>74</v>
      </c>
      <c r="BM840" t="s">
        <v>11056</v>
      </c>
      <c r="BN840" t="s">
        <v>74</v>
      </c>
      <c r="BO840" t="s">
        <v>74</v>
      </c>
      <c r="BP840" t="s">
        <v>74</v>
      </c>
      <c r="BQ840" t="s">
        <v>74</v>
      </c>
      <c r="BR840" t="s">
        <v>101</v>
      </c>
      <c r="BS840" t="s">
        <v>11057</v>
      </c>
      <c r="BT840" t="str">
        <f>HYPERLINK("https%3A%2F%2Fwww.webofscience.com%2Fwos%2Fwoscc%2Ffull-record%2FWOS:000262386500004","View Full Record in Web of Science")</f>
        <v>View Full Record in Web of Science</v>
      </c>
    </row>
    <row r="841" spans="1:72" x14ac:dyDescent="0.15">
      <c r="A841" t="s">
        <v>72</v>
      </c>
      <c r="B841" t="s">
        <v>11058</v>
      </c>
      <c r="C841" t="s">
        <v>74</v>
      </c>
      <c r="D841" t="s">
        <v>74</v>
      </c>
      <c r="E841" t="s">
        <v>74</v>
      </c>
      <c r="F841" t="s">
        <v>11059</v>
      </c>
      <c r="G841" t="s">
        <v>74</v>
      </c>
      <c r="H841" t="s">
        <v>74</v>
      </c>
      <c r="I841" t="s">
        <v>11060</v>
      </c>
      <c r="J841" t="s">
        <v>11061</v>
      </c>
      <c r="K841" t="s">
        <v>74</v>
      </c>
      <c r="L841" t="s">
        <v>74</v>
      </c>
      <c r="M841" t="s">
        <v>78</v>
      </c>
      <c r="N841" t="s">
        <v>2737</v>
      </c>
      <c r="O841" t="s">
        <v>74</v>
      </c>
      <c r="P841" t="s">
        <v>74</v>
      </c>
      <c r="Q841" t="s">
        <v>74</v>
      </c>
      <c r="R841" t="s">
        <v>74</v>
      </c>
      <c r="S841" t="s">
        <v>74</v>
      </c>
      <c r="T841" t="s">
        <v>11062</v>
      </c>
      <c r="U841" t="s">
        <v>11063</v>
      </c>
      <c r="V841" t="s">
        <v>11064</v>
      </c>
      <c r="W841" t="s">
        <v>11065</v>
      </c>
      <c r="X841" t="s">
        <v>2786</v>
      </c>
      <c r="Y841" t="s">
        <v>11066</v>
      </c>
      <c r="Z841" t="s">
        <v>11067</v>
      </c>
      <c r="AA841" t="s">
        <v>74</v>
      </c>
      <c r="AB841" t="s">
        <v>74</v>
      </c>
      <c r="AC841" t="s">
        <v>11068</v>
      </c>
      <c r="AD841" t="s">
        <v>2792</v>
      </c>
      <c r="AE841" t="s">
        <v>74</v>
      </c>
      <c r="AF841" t="s">
        <v>74</v>
      </c>
      <c r="AG841">
        <v>27</v>
      </c>
      <c r="AH841">
        <v>33</v>
      </c>
      <c r="AI841">
        <v>34</v>
      </c>
      <c r="AJ841">
        <v>0</v>
      </c>
      <c r="AK841">
        <v>12</v>
      </c>
      <c r="AL841" t="s">
        <v>88</v>
      </c>
      <c r="AM841" t="s">
        <v>89</v>
      </c>
      <c r="AN841" t="s">
        <v>90</v>
      </c>
      <c r="AO841" t="s">
        <v>11069</v>
      </c>
      <c r="AP841" t="s">
        <v>11070</v>
      </c>
      <c r="AQ841" t="s">
        <v>74</v>
      </c>
      <c r="AR841" t="s">
        <v>11071</v>
      </c>
      <c r="AS841" t="s">
        <v>11072</v>
      </c>
      <c r="AT841" t="s">
        <v>9967</v>
      </c>
      <c r="AU841">
        <v>2008</v>
      </c>
      <c r="AV841">
        <v>23</v>
      </c>
      <c r="AW841">
        <v>121</v>
      </c>
      <c r="AX841" t="s">
        <v>74</v>
      </c>
      <c r="AY841" t="s">
        <v>74</v>
      </c>
      <c r="AZ841" t="s">
        <v>74</v>
      </c>
      <c r="BA841" t="s">
        <v>74</v>
      </c>
      <c r="BB841">
        <v>51</v>
      </c>
      <c r="BC841">
        <v>68</v>
      </c>
      <c r="BD841" t="s">
        <v>74</v>
      </c>
      <c r="BE841" t="s">
        <v>11073</v>
      </c>
      <c r="BF841" t="str">
        <f>HYPERLINK("http://dx.doi.org/10.1111/j.1477-9730.2008.00463.x","http://dx.doi.org/10.1111/j.1477-9730.2008.00463.x")</f>
        <v>http://dx.doi.org/10.1111/j.1477-9730.2008.00463.x</v>
      </c>
      <c r="BG841" t="s">
        <v>74</v>
      </c>
      <c r="BH841" t="s">
        <v>74</v>
      </c>
      <c r="BI841">
        <v>18</v>
      </c>
      <c r="BJ841" t="s">
        <v>11074</v>
      </c>
      <c r="BK841" t="s">
        <v>419</v>
      </c>
      <c r="BL841" t="s">
        <v>11075</v>
      </c>
      <c r="BM841" t="s">
        <v>11076</v>
      </c>
      <c r="BN841" t="s">
        <v>74</v>
      </c>
      <c r="BO841" t="s">
        <v>3033</v>
      </c>
      <c r="BP841" t="s">
        <v>74</v>
      </c>
      <c r="BQ841" t="s">
        <v>74</v>
      </c>
      <c r="BR841" t="s">
        <v>101</v>
      </c>
      <c r="BS841" t="s">
        <v>11077</v>
      </c>
      <c r="BT841" t="str">
        <f>HYPERLINK("https%3A%2F%2Fwww.webofscience.com%2Fwos%2Fwoscc%2Ffull-record%2FWOS:000254416500005","View Full Record in Web of Science")</f>
        <v>View Full Record in Web of Science</v>
      </c>
    </row>
    <row r="842" spans="1:72" x14ac:dyDescent="0.15">
      <c r="A842" t="s">
        <v>72</v>
      </c>
      <c r="B842" t="s">
        <v>11078</v>
      </c>
      <c r="C842" t="s">
        <v>74</v>
      </c>
      <c r="D842" t="s">
        <v>74</v>
      </c>
      <c r="E842" t="s">
        <v>74</v>
      </c>
      <c r="F842" t="s">
        <v>11079</v>
      </c>
      <c r="G842" t="s">
        <v>74</v>
      </c>
      <c r="H842" t="s">
        <v>74</v>
      </c>
      <c r="I842" t="s">
        <v>11080</v>
      </c>
      <c r="J842" t="s">
        <v>11081</v>
      </c>
      <c r="K842" t="s">
        <v>74</v>
      </c>
      <c r="L842" t="s">
        <v>74</v>
      </c>
      <c r="M842" t="s">
        <v>78</v>
      </c>
      <c r="N842" t="s">
        <v>2989</v>
      </c>
      <c r="O842" t="s">
        <v>74</v>
      </c>
      <c r="P842" t="s">
        <v>74</v>
      </c>
      <c r="Q842" t="s">
        <v>74</v>
      </c>
      <c r="R842" t="s">
        <v>74</v>
      </c>
      <c r="S842" t="s">
        <v>74</v>
      </c>
      <c r="T842" t="s">
        <v>74</v>
      </c>
      <c r="U842" t="s">
        <v>74</v>
      </c>
      <c r="V842" t="s">
        <v>74</v>
      </c>
      <c r="W842" t="s">
        <v>74</v>
      </c>
      <c r="X842" t="s">
        <v>74</v>
      </c>
      <c r="Y842" t="s">
        <v>74</v>
      </c>
      <c r="Z842" t="s">
        <v>74</v>
      </c>
      <c r="AA842" t="s">
        <v>74</v>
      </c>
      <c r="AB842" t="s">
        <v>74</v>
      </c>
      <c r="AC842" t="s">
        <v>74</v>
      </c>
      <c r="AD842" t="s">
        <v>74</v>
      </c>
      <c r="AE842" t="s">
        <v>74</v>
      </c>
      <c r="AF842" t="s">
        <v>74</v>
      </c>
      <c r="AG842">
        <v>2</v>
      </c>
      <c r="AH842">
        <v>0</v>
      </c>
      <c r="AI842">
        <v>0</v>
      </c>
      <c r="AJ842">
        <v>0</v>
      </c>
      <c r="AK842">
        <v>3</v>
      </c>
      <c r="AL842" t="s">
        <v>11082</v>
      </c>
      <c r="AM842" t="s">
        <v>11083</v>
      </c>
      <c r="AN842" t="s">
        <v>11084</v>
      </c>
      <c r="AO842" t="s">
        <v>11085</v>
      </c>
      <c r="AP842" t="s">
        <v>74</v>
      </c>
      <c r="AQ842" t="s">
        <v>74</v>
      </c>
      <c r="AR842" t="s">
        <v>11086</v>
      </c>
      <c r="AS842" t="s">
        <v>11087</v>
      </c>
      <c r="AT842" t="s">
        <v>9967</v>
      </c>
      <c r="AU842">
        <v>2008</v>
      </c>
      <c r="AV842">
        <v>61</v>
      </c>
      <c r="AW842">
        <v>3</v>
      </c>
      <c r="AX842" t="s">
        <v>74</v>
      </c>
      <c r="AY842" t="s">
        <v>74</v>
      </c>
      <c r="AZ842" t="s">
        <v>74</v>
      </c>
      <c r="BA842" t="s">
        <v>74</v>
      </c>
      <c r="BB842">
        <v>17</v>
      </c>
      <c r="BC842">
        <v>17</v>
      </c>
      <c r="BD842" t="s">
        <v>74</v>
      </c>
      <c r="BE842" t="s">
        <v>74</v>
      </c>
      <c r="BF842" t="s">
        <v>74</v>
      </c>
      <c r="BG842" t="s">
        <v>74</v>
      </c>
      <c r="BH842" t="s">
        <v>74</v>
      </c>
      <c r="BI842">
        <v>1</v>
      </c>
      <c r="BJ842" t="s">
        <v>6255</v>
      </c>
      <c r="BK842" t="s">
        <v>419</v>
      </c>
      <c r="BL842" t="s">
        <v>6256</v>
      </c>
      <c r="BM842" t="s">
        <v>11088</v>
      </c>
      <c r="BN842" t="s">
        <v>74</v>
      </c>
      <c r="BO842" t="s">
        <v>74</v>
      </c>
      <c r="BP842" t="s">
        <v>74</v>
      </c>
      <c r="BQ842" t="s">
        <v>74</v>
      </c>
      <c r="BR842" t="s">
        <v>101</v>
      </c>
      <c r="BS842" t="s">
        <v>11089</v>
      </c>
      <c r="BT842" t="str">
        <f>HYPERLINK("https%3A%2F%2Fwww.webofscience.com%2Fwos%2Fwoscc%2Ffull-record%2FWOS:000253820100010","View Full Record in Web of Science")</f>
        <v>View Full Record in Web of Science</v>
      </c>
    </row>
    <row r="843" spans="1:72" x14ac:dyDescent="0.15">
      <c r="A843" t="s">
        <v>72</v>
      </c>
      <c r="B843" t="s">
        <v>11090</v>
      </c>
      <c r="C843" t="s">
        <v>74</v>
      </c>
      <c r="D843" t="s">
        <v>74</v>
      </c>
      <c r="E843" t="s">
        <v>74</v>
      </c>
      <c r="F843" t="s">
        <v>11091</v>
      </c>
      <c r="G843" t="s">
        <v>74</v>
      </c>
      <c r="H843" t="s">
        <v>74</v>
      </c>
      <c r="I843" t="s">
        <v>11092</v>
      </c>
      <c r="J843" t="s">
        <v>2883</v>
      </c>
      <c r="K843" t="s">
        <v>74</v>
      </c>
      <c r="L843" t="s">
        <v>74</v>
      </c>
      <c r="M843" t="s">
        <v>78</v>
      </c>
      <c r="N843" t="s">
        <v>2737</v>
      </c>
      <c r="O843" t="s">
        <v>74</v>
      </c>
      <c r="P843" t="s">
        <v>74</v>
      </c>
      <c r="Q843" t="s">
        <v>74</v>
      </c>
      <c r="R843" t="s">
        <v>74</v>
      </c>
      <c r="S843" t="s">
        <v>74</v>
      </c>
      <c r="T843" t="s">
        <v>11093</v>
      </c>
      <c r="U843" t="s">
        <v>11094</v>
      </c>
      <c r="V843" t="s">
        <v>11095</v>
      </c>
      <c r="W843" t="s">
        <v>11096</v>
      </c>
      <c r="X843" t="s">
        <v>11097</v>
      </c>
      <c r="Y843" t="s">
        <v>11098</v>
      </c>
      <c r="Z843" t="s">
        <v>11099</v>
      </c>
      <c r="AA843" t="s">
        <v>11100</v>
      </c>
      <c r="AB843" t="s">
        <v>11101</v>
      </c>
      <c r="AC843" t="s">
        <v>74</v>
      </c>
      <c r="AD843" t="s">
        <v>74</v>
      </c>
      <c r="AE843" t="s">
        <v>74</v>
      </c>
      <c r="AF843" t="s">
        <v>74</v>
      </c>
      <c r="AG843">
        <v>63</v>
      </c>
      <c r="AH843">
        <v>49</v>
      </c>
      <c r="AI843">
        <v>54</v>
      </c>
      <c r="AJ843">
        <v>1</v>
      </c>
      <c r="AK843">
        <v>24</v>
      </c>
      <c r="AL843" t="s">
        <v>2746</v>
      </c>
      <c r="AM843" t="s">
        <v>2747</v>
      </c>
      <c r="AN843" t="s">
        <v>2924</v>
      </c>
      <c r="AO843" t="s">
        <v>2891</v>
      </c>
      <c r="AP843" t="s">
        <v>2925</v>
      </c>
      <c r="AQ843" t="s">
        <v>74</v>
      </c>
      <c r="AR843" t="s">
        <v>2892</v>
      </c>
      <c r="AS843" t="s">
        <v>2893</v>
      </c>
      <c r="AT843" t="s">
        <v>9967</v>
      </c>
      <c r="AU843">
        <v>2008</v>
      </c>
      <c r="AV843">
        <v>31</v>
      </c>
      <c r="AW843">
        <v>4</v>
      </c>
      <c r="AX843" t="s">
        <v>74</v>
      </c>
      <c r="AY843" t="s">
        <v>74</v>
      </c>
      <c r="AZ843" t="s">
        <v>74</v>
      </c>
      <c r="BA843" t="s">
        <v>74</v>
      </c>
      <c r="BB843">
        <v>429</v>
      </c>
      <c r="BC843">
        <v>442</v>
      </c>
      <c r="BD843" t="s">
        <v>74</v>
      </c>
      <c r="BE843" t="s">
        <v>11102</v>
      </c>
      <c r="BF843" t="str">
        <f>HYPERLINK("http://dx.doi.org/10.1007/s00300-007-0369-9","http://dx.doi.org/10.1007/s00300-007-0369-9")</f>
        <v>http://dx.doi.org/10.1007/s00300-007-0369-9</v>
      </c>
      <c r="BG843" t="s">
        <v>74</v>
      </c>
      <c r="BH843" t="s">
        <v>74</v>
      </c>
      <c r="BI843">
        <v>14</v>
      </c>
      <c r="BJ843" t="s">
        <v>2895</v>
      </c>
      <c r="BK843" t="s">
        <v>419</v>
      </c>
      <c r="BL843" t="s">
        <v>2896</v>
      </c>
      <c r="BM843" t="s">
        <v>11103</v>
      </c>
      <c r="BN843" t="s">
        <v>74</v>
      </c>
      <c r="BO843" t="s">
        <v>3311</v>
      </c>
      <c r="BP843" t="s">
        <v>74</v>
      </c>
      <c r="BQ843" t="s">
        <v>74</v>
      </c>
      <c r="BR843" t="s">
        <v>101</v>
      </c>
      <c r="BS843" t="s">
        <v>11104</v>
      </c>
      <c r="BT843" t="str">
        <f>HYPERLINK("https%3A%2F%2Fwww.webofscience.com%2Fwos%2Fwoscc%2Ffull-record%2FWOS:000252889500004","View Full Record in Web of Science")</f>
        <v>View Full Record in Web of Science</v>
      </c>
    </row>
    <row r="844" spans="1:72" x14ac:dyDescent="0.15">
      <c r="A844" t="s">
        <v>72</v>
      </c>
      <c r="B844" t="s">
        <v>11105</v>
      </c>
      <c r="C844" t="s">
        <v>74</v>
      </c>
      <c r="D844" t="s">
        <v>74</v>
      </c>
      <c r="E844" t="s">
        <v>74</v>
      </c>
      <c r="F844" t="s">
        <v>11106</v>
      </c>
      <c r="G844" t="s">
        <v>74</v>
      </c>
      <c r="H844" t="s">
        <v>74</v>
      </c>
      <c r="I844" t="s">
        <v>11107</v>
      </c>
      <c r="J844" t="s">
        <v>2883</v>
      </c>
      <c r="K844" t="s">
        <v>74</v>
      </c>
      <c r="L844" t="s">
        <v>74</v>
      </c>
      <c r="M844" t="s">
        <v>78</v>
      </c>
      <c r="N844" t="s">
        <v>2737</v>
      </c>
      <c r="O844" t="s">
        <v>74</v>
      </c>
      <c r="P844" t="s">
        <v>74</v>
      </c>
      <c r="Q844" t="s">
        <v>74</v>
      </c>
      <c r="R844" t="s">
        <v>74</v>
      </c>
      <c r="S844" t="s">
        <v>74</v>
      </c>
      <c r="T844" t="s">
        <v>11108</v>
      </c>
      <c r="U844" t="s">
        <v>11109</v>
      </c>
      <c r="V844" t="s">
        <v>11110</v>
      </c>
      <c r="W844" t="s">
        <v>11111</v>
      </c>
      <c r="X844" t="s">
        <v>3215</v>
      </c>
      <c r="Y844" t="s">
        <v>11112</v>
      </c>
      <c r="Z844" t="s">
        <v>11113</v>
      </c>
      <c r="AA844" t="s">
        <v>74</v>
      </c>
      <c r="AB844" t="s">
        <v>74</v>
      </c>
      <c r="AC844" t="s">
        <v>74</v>
      </c>
      <c r="AD844" t="s">
        <v>74</v>
      </c>
      <c r="AE844" t="s">
        <v>74</v>
      </c>
      <c r="AF844" t="s">
        <v>74</v>
      </c>
      <c r="AG844">
        <v>54</v>
      </c>
      <c r="AH844">
        <v>20</v>
      </c>
      <c r="AI844">
        <v>20</v>
      </c>
      <c r="AJ844">
        <v>0</v>
      </c>
      <c r="AK844">
        <v>9</v>
      </c>
      <c r="AL844" t="s">
        <v>2746</v>
      </c>
      <c r="AM844" t="s">
        <v>2747</v>
      </c>
      <c r="AN844" t="s">
        <v>2924</v>
      </c>
      <c r="AO844" t="s">
        <v>2891</v>
      </c>
      <c r="AP844" t="s">
        <v>2925</v>
      </c>
      <c r="AQ844" t="s">
        <v>74</v>
      </c>
      <c r="AR844" t="s">
        <v>2892</v>
      </c>
      <c r="AS844" t="s">
        <v>2893</v>
      </c>
      <c r="AT844" t="s">
        <v>9967</v>
      </c>
      <c r="AU844">
        <v>2008</v>
      </c>
      <c r="AV844">
        <v>31</v>
      </c>
      <c r="AW844">
        <v>4</v>
      </c>
      <c r="AX844" t="s">
        <v>74</v>
      </c>
      <c r="AY844" t="s">
        <v>74</v>
      </c>
      <c r="AZ844" t="s">
        <v>74</v>
      </c>
      <c r="BA844" t="s">
        <v>74</v>
      </c>
      <c r="BB844">
        <v>443</v>
      </c>
      <c r="BC844">
        <v>449</v>
      </c>
      <c r="BD844" t="s">
        <v>74</v>
      </c>
      <c r="BE844" t="s">
        <v>11114</v>
      </c>
      <c r="BF844" t="str">
        <f>HYPERLINK("http://dx.doi.org/10.1007/s00300-007-0370-3","http://dx.doi.org/10.1007/s00300-007-0370-3")</f>
        <v>http://dx.doi.org/10.1007/s00300-007-0370-3</v>
      </c>
      <c r="BG844" t="s">
        <v>74</v>
      </c>
      <c r="BH844" t="s">
        <v>74</v>
      </c>
      <c r="BI844">
        <v>7</v>
      </c>
      <c r="BJ844" t="s">
        <v>2895</v>
      </c>
      <c r="BK844" t="s">
        <v>419</v>
      </c>
      <c r="BL844" t="s">
        <v>2896</v>
      </c>
      <c r="BM844" t="s">
        <v>11103</v>
      </c>
      <c r="BN844" t="s">
        <v>74</v>
      </c>
      <c r="BO844" t="s">
        <v>3311</v>
      </c>
      <c r="BP844" t="s">
        <v>74</v>
      </c>
      <c r="BQ844" t="s">
        <v>74</v>
      </c>
      <c r="BR844" t="s">
        <v>101</v>
      </c>
      <c r="BS844" t="s">
        <v>11115</v>
      </c>
      <c r="BT844" t="str">
        <f>HYPERLINK("https%3A%2F%2Fwww.webofscience.com%2Fwos%2Fwoscc%2Ffull-record%2FWOS:000252889500005","View Full Record in Web of Science")</f>
        <v>View Full Record in Web of Science</v>
      </c>
    </row>
    <row r="845" spans="1:72" x14ac:dyDescent="0.15">
      <c r="A845" t="s">
        <v>72</v>
      </c>
      <c r="B845" t="s">
        <v>11116</v>
      </c>
      <c r="C845" t="s">
        <v>74</v>
      </c>
      <c r="D845" t="s">
        <v>74</v>
      </c>
      <c r="E845" t="s">
        <v>74</v>
      </c>
      <c r="F845" t="s">
        <v>11117</v>
      </c>
      <c r="G845" t="s">
        <v>74</v>
      </c>
      <c r="H845" t="s">
        <v>74</v>
      </c>
      <c r="I845" t="s">
        <v>11118</v>
      </c>
      <c r="J845" t="s">
        <v>2883</v>
      </c>
      <c r="K845" t="s">
        <v>74</v>
      </c>
      <c r="L845" t="s">
        <v>74</v>
      </c>
      <c r="M845" t="s">
        <v>78</v>
      </c>
      <c r="N845" t="s">
        <v>2737</v>
      </c>
      <c r="O845" t="s">
        <v>74</v>
      </c>
      <c r="P845" t="s">
        <v>74</v>
      </c>
      <c r="Q845" t="s">
        <v>74</v>
      </c>
      <c r="R845" t="s">
        <v>74</v>
      </c>
      <c r="S845" t="s">
        <v>74</v>
      </c>
      <c r="T845" t="s">
        <v>11119</v>
      </c>
      <c r="U845" t="s">
        <v>11120</v>
      </c>
      <c r="V845" t="s">
        <v>11121</v>
      </c>
      <c r="W845" t="s">
        <v>11122</v>
      </c>
      <c r="X845" t="s">
        <v>11123</v>
      </c>
      <c r="Y845" t="s">
        <v>11124</v>
      </c>
      <c r="Z845" t="s">
        <v>11125</v>
      </c>
      <c r="AA845" t="s">
        <v>11126</v>
      </c>
      <c r="AB845" t="s">
        <v>11127</v>
      </c>
      <c r="AC845" t="s">
        <v>74</v>
      </c>
      <c r="AD845" t="s">
        <v>74</v>
      </c>
      <c r="AE845" t="s">
        <v>74</v>
      </c>
      <c r="AF845" t="s">
        <v>74</v>
      </c>
      <c r="AG845">
        <v>33</v>
      </c>
      <c r="AH845">
        <v>28</v>
      </c>
      <c r="AI845">
        <v>29</v>
      </c>
      <c r="AJ845">
        <v>0</v>
      </c>
      <c r="AK845">
        <v>0</v>
      </c>
      <c r="AL845" t="s">
        <v>2746</v>
      </c>
      <c r="AM845" t="s">
        <v>2747</v>
      </c>
      <c r="AN845" t="s">
        <v>2748</v>
      </c>
      <c r="AO845" t="s">
        <v>2891</v>
      </c>
      <c r="AP845" t="s">
        <v>2925</v>
      </c>
      <c r="AQ845" t="s">
        <v>74</v>
      </c>
      <c r="AR845" t="s">
        <v>2892</v>
      </c>
      <c r="AS845" t="s">
        <v>2893</v>
      </c>
      <c r="AT845" t="s">
        <v>9967</v>
      </c>
      <c r="AU845">
        <v>2008</v>
      </c>
      <c r="AV845">
        <v>31</v>
      </c>
      <c r="AW845">
        <v>4</v>
      </c>
      <c r="AX845" t="s">
        <v>74</v>
      </c>
      <c r="AY845" t="s">
        <v>74</v>
      </c>
      <c r="AZ845" t="s">
        <v>74</v>
      </c>
      <c r="BA845" t="s">
        <v>74</v>
      </c>
      <c r="BB845">
        <v>451</v>
      </c>
      <c r="BC845">
        <v>464</v>
      </c>
      <c r="BD845" t="s">
        <v>74</v>
      </c>
      <c r="BE845" t="s">
        <v>11128</v>
      </c>
      <c r="BF845" t="str">
        <f>HYPERLINK("http://dx.doi.org/10.1007/s00300-007-0371-2","http://dx.doi.org/10.1007/s00300-007-0371-2")</f>
        <v>http://dx.doi.org/10.1007/s00300-007-0371-2</v>
      </c>
      <c r="BG845" t="s">
        <v>74</v>
      </c>
      <c r="BH845" t="s">
        <v>74</v>
      </c>
      <c r="BI845">
        <v>14</v>
      </c>
      <c r="BJ845" t="s">
        <v>2895</v>
      </c>
      <c r="BK845" t="s">
        <v>419</v>
      </c>
      <c r="BL845" t="s">
        <v>2896</v>
      </c>
      <c r="BM845" t="s">
        <v>11103</v>
      </c>
      <c r="BN845" t="s">
        <v>74</v>
      </c>
      <c r="BO845" t="s">
        <v>74</v>
      </c>
      <c r="BP845" t="s">
        <v>74</v>
      </c>
      <c r="BQ845" t="s">
        <v>74</v>
      </c>
      <c r="BR845" t="s">
        <v>101</v>
      </c>
      <c r="BS845" t="s">
        <v>11129</v>
      </c>
      <c r="BT845" t="str">
        <f>HYPERLINK("https%3A%2F%2Fwww.webofscience.com%2Fwos%2Fwoscc%2Ffull-record%2FWOS:000252889500006","View Full Record in Web of Science")</f>
        <v>View Full Record in Web of Science</v>
      </c>
    </row>
    <row r="846" spans="1:72" x14ac:dyDescent="0.15">
      <c r="A846" t="s">
        <v>72</v>
      </c>
      <c r="B846" t="s">
        <v>11130</v>
      </c>
      <c r="C846" t="s">
        <v>74</v>
      </c>
      <c r="D846" t="s">
        <v>74</v>
      </c>
      <c r="E846" t="s">
        <v>74</v>
      </c>
      <c r="F846" t="s">
        <v>11131</v>
      </c>
      <c r="G846" t="s">
        <v>74</v>
      </c>
      <c r="H846" t="s">
        <v>74</v>
      </c>
      <c r="I846" t="s">
        <v>11132</v>
      </c>
      <c r="J846" t="s">
        <v>2883</v>
      </c>
      <c r="K846" t="s">
        <v>74</v>
      </c>
      <c r="L846" t="s">
        <v>74</v>
      </c>
      <c r="M846" t="s">
        <v>78</v>
      </c>
      <c r="N846" t="s">
        <v>2737</v>
      </c>
      <c r="O846" t="s">
        <v>74</v>
      </c>
      <c r="P846" t="s">
        <v>74</v>
      </c>
      <c r="Q846" t="s">
        <v>74</v>
      </c>
      <c r="R846" t="s">
        <v>74</v>
      </c>
      <c r="S846" t="s">
        <v>74</v>
      </c>
      <c r="T846" t="s">
        <v>11133</v>
      </c>
      <c r="U846" t="s">
        <v>11134</v>
      </c>
      <c r="V846" t="s">
        <v>11135</v>
      </c>
      <c r="W846" t="s">
        <v>11136</v>
      </c>
      <c r="X846" t="s">
        <v>11137</v>
      </c>
      <c r="Y846" t="s">
        <v>11138</v>
      </c>
      <c r="Z846" t="s">
        <v>11139</v>
      </c>
      <c r="AA846" t="s">
        <v>11140</v>
      </c>
      <c r="AB846" t="s">
        <v>11141</v>
      </c>
      <c r="AC846" t="s">
        <v>74</v>
      </c>
      <c r="AD846" t="s">
        <v>74</v>
      </c>
      <c r="AE846" t="s">
        <v>74</v>
      </c>
      <c r="AF846" t="s">
        <v>74</v>
      </c>
      <c r="AG846">
        <v>38</v>
      </c>
      <c r="AH846">
        <v>19</v>
      </c>
      <c r="AI846">
        <v>20</v>
      </c>
      <c r="AJ846">
        <v>0</v>
      </c>
      <c r="AK846">
        <v>12</v>
      </c>
      <c r="AL846" t="s">
        <v>2746</v>
      </c>
      <c r="AM846" t="s">
        <v>2747</v>
      </c>
      <c r="AN846" t="s">
        <v>2924</v>
      </c>
      <c r="AO846" t="s">
        <v>2891</v>
      </c>
      <c r="AP846" t="s">
        <v>2925</v>
      </c>
      <c r="AQ846" t="s">
        <v>74</v>
      </c>
      <c r="AR846" t="s">
        <v>2892</v>
      </c>
      <c r="AS846" t="s">
        <v>2893</v>
      </c>
      <c r="AT846" t="s">
        <v>9967</v>
      </c>
      <c r="AU846">
        <v>2008</v>
      </c>
      <c r="AV846">
        <v>31</v>
      </c>
      <c r="AW846">
        <v>4</v>
      </c>
      <c r="AX846" t="s">
        <v>74</v>
      </c>
      <c r="AY846" t="s">
        <v>74</v>
      </c>
      <c r="AZ846" t="s">
        <v>74</v>
      </c>
      <c r="BA846" t="s">
        <v>74</v>
      </c>
      <c r="BB846">
        <v>509</v>
      </c>
      <c r="BC846">
        <v>517</v>
      </c>
      <c r="BD846" t="s">
        <v>74</v>
      </c>
      <c r="BE846" t="s">
        <v>11142</v>
      </c>
      <c r="BF846" t="str">
        <f>HYPERLINK("http://dx.doi.org/10.1007/s00300-007-0379-7","http://dx.doi.org/10.1007/s00300-007-0379-7")</f>
        <v>http://dx.doi.org/10.1007/s00300-007-0379-7</v>
      </c>
      <c r="BG846" t="s">
        <v>74</v>
      </c>
      <c r="BH846" t="s">
        <v>74</v>
      </c>
      <c r="BI846">
        <v>9</v>
      </c>
      <c r="BJ846" t="s">
        <v>2895</v>
      </c>
      <c r="BK846" t="s">
        <v>419</v>
      </c>
      <c r="BL846" t="s">
        <v>2896</v>
      </c>
      <c r="BM846" t="s">
        <v>11103</v>
      </c>
      <c r="BN846" t="s">
        <v>74</v>
      </c>
      <c r="BO846" t="s">
        <v>3311</v>
      </c>
      <c r="BP846" t="s">
        <v>74</v>
      </c>
      <c r="BQ846" t="s">
        <v>74</v>
      </c>
      <c r="BR846" t="s">
        <v>101</v>
      </c>
      <c r="BS846" t="s">
        <v>11143</v>
      </c>
      <c r="BT846" t="str">
        <f>HYPERLINK("https%3A%2F%2Fwww.webofscience.com%2Fwos%2Fwoscc%2Ffull-record%2FWOS:000252889500012","View Full Record in Web of Science")</f>
        <v>View Full Record in Web of Science</v>
      </c>
    </row>
    <row r="847" spans="1:72" x14ac:dyDescent="0.15">
      <c r="A847" t="s">
        <v>72</v>
      </c>
      <c r="B847" t="s">
        <v>11144</v>
      </c>
      <c r="C847" t="s">
        <v>74</v>
      </c>
      <c r="D847" t="s">
        <v>74</v>
      </c>
      <c r="E847" t="s">
        <v>74</v>
      </c>
      <c r="F847" t="s">
        <v>11145</v>
      </c>
      <c r="G847" t="s">
        <v>74</v>
      </c>
      <c r="H847" t="s">
        <v>74</v>
      </c>
      <c r="I847" t="s">
        <v>11146</v>
      </c>
      <c r="J847" t="s">
        <v>2883</v>
      </c>
      <c r="K847" t="s">
        <v>74</v>
      </c>
      <c r="L847" t="s">
        <v>74</v>
      </c>
      <c r="M847" t="s">
        <v>78</v>
      </c>
      <c r="N847" t="s">
        <v>2737</v>
      </c>
      <c r="O847" t="s">
        <v>74</v>
      </c>
      <c r="P847" t="s">
        <v>74</v>
      </c>
      <c r="Q847" t="s">
        <v>74</v>
      </c>
      <c r="R847" t="s">
        <v>74</v>
      </c>
      <c r="S847" t="s">
        <v>74</v>
      </c>
      <c r="T847" t="s">
        <v>74</v>
      </c>
      <c r="U847" t="s">
        <v>11147</v>
      </c>
      <c r="V847" t="s">
        <v>11148</v>
      </c>
      <c r="W847" t="s">
        <v>11149</v>
      </c>
      <c r="X847" t="s">
        <v>11150</v>
      </c>
      <c r="Y847" t="s">
        <v>11151</v>
      </c>
      <c r="Z847" t="s">
        <v>11152</v>
      </c>
      <c r="AA847" t="s">
        <v>11153</v>
      </c>
      <c r="AB847" t="s">
        <v>11154</v>
      </c>
      <c r="AC847" t="s">
        <v>74</v>
      </c>
      <c r="AD847" t="s">
        <v>74</v>
      </c>
      <c r="AE847" t="s">
        <v>74</v>
      </c>
      <c r="AF847" t="s">
        <v>74</v>
      </c>
      <c r="AG847">
        <v>61</v>
      </c>
      <c r="AH847">
        <v>6</v>
      </c>
      <c r="AI847">
        <v>6</v>
      </c>
      <c r="AJ847">
        <v>0</v>
      </c>
      <c r="AK847">
        <v>14</v>
      </c>
      <c r="AL847" t="s">
        <v>2746</v>
      </c>
      <c r="AM847" t="s">
        <v>2747</v>
      </c>
      <c r="AN847" t="s">
        <v>2924</v>
      </c>
      <c r="AO847" t="s">
        <v>2891</v>
      </c>
      <c r="AP847" t="s">
        <v>2925</v>
      </c>
      <c r="AQ847" t="s">
        <v>74</v>
      </c>
      <c r="AR847" t="s">
        <v>2892</v>
      </c>
      <c r="AS847" t="s">
        <v>2893</v>
      </c>
      <c r="AT847" t="s">
        <v>9967</v>
      </c>
      <c r="AU847">
        <v>2008</v>
      </c>
      <c r="AV847">
        <v>31</v>
      </c>
      <c r="AW847">
        <v>4</v>
      </c>
      <c r="AX847" t="s">
        <v>74</v>
      </c>
      <c r="AY847" t="s">
        <v>74</v>
      </c>
      <c r="AZ847" t="s">
        <v>74</v>
      </c>
      <c r="BA847" t="s">
        <v>74</v>
      </c>
      <c r="BB847">
        <v>519</v>
      </c>
      <c r="BC847">
        <v>525</v>
      </c>
      <c r="BD847" t="s">
        <v>74</v>
      </c>
      <c r="BE847" t="s">
        <v>11155</v>
      </c>
      <c r="BF847" t="str">
        <f>HYPERLINK("http://dx.doi.org/10.1007/s00300-007-0383-y","http://dx.doi.org/10.1007/s00300-007-0383-y")</f>
        <v>http://dx.doi.org/10.1007/s00300-007-0383-y</v>
      </c>
      <c r="BG847" t="s">
        <v>74</v>
      </c>
      <c r="BH847" t="s">
        <v>74</v>
      </c>
      <c r="BI847">
        <v>7</v>
      </c>
      <c r="BJ847" t="s">
        <v>2895</v>
      </c>
      <c r="BK847" t="s">
        <v>419</v>
      </c>
      <c r="BL847" t="s">
        <v>2896</v>
      </c>
      <c r="BM847" t="s">
        <v>11103</v>
      </c>
      <c r="BN847" t="s">
        <v>74</v>
      </c>
      <c r="BO847" t="s">
        <v>3110</v>
      </c>
      <c r="BP847" t="s">
        <v>74</v>
      </c>
      <c r="BQ847" t="s">
        <v>74</v>
      </c>
      <c r="BR847" t="s">
        <v>101</v>
      </c>
      <c r="BS847" t="s">
        <v>11156</v>
      </c>
      <c r="BT847" t="str">
        <f>HYPERLINK("https%3A%2F%2Fwww.webofscience.com%2Fwos%2Fwoscc%2Ffull-record%2FWOS:000252889500013","View Full Record in Web of Science")</f>
        <v>View Full Record in Web of Science</v>
      </c>
    </row>
    <row r="848" spans="1:72" x14ac:dyDescent="0.15">
      <c r="A848" t="s">
        <v>72</v>
      </c>
      <c r="B848" t="s">
        <v>11157</v>
      </c>
      <c r="C848" t="s">
        <v>74</v>
      </c>
      <c r="D848" t="s">
        <v>74</v>
      </c>
      <c r="E848" t="s">
        <v>74</v>
      </c>
      <c r="F848" t="s">
        <v>11158</v>
      </c>
      <c r="G848" t="s">
        <v>74</v>
      </c>
      <c r="H848" t="s">
        <v>74</v>
      </c>
      <c r="I848" t="s">
        <v>11159</v>
      </c>
      <c r="J848" t="s">
        <v>5264</v>
      </c>
      <c r="K848" t="s">
        <v>74</v>
      </c>
      <c r="L848" t="s">
        <v>74</v>
      </c>
      <c r="M848" t="s">
        <v>78</v>
      </c>
      <c r="N848" t="s">
        <v>2958</v>
      </c>
      <c r="O848" t="s">
        <v>74</v>
      </c>
      <c r="P848" t="s">
        <v>74</v>
      </c>
      <c r="Q848" t="s">
        <v>74</v>
      </c>
      <c r="R848" t="s">
        <v>74</v>
      </c>
      <c r="S848" t="s">
        <v>74</v>
      </c>
      <c r="T848" t="s">
        <v>11160</v>
      </c>
      <c r="U848" t="s">
        <v>11161</v>
      </c>
      <c r="V848" t="s">
        <v>11162</v>
      </c>
      <c r="W848" t="s">
        <v>11163</v>
      </c>
      <c r="X848" t="s">
        <v>11164</v>
      </c>
      <c r="Y848" t="s">
        <v>11165</v>
      </c>
      <c r="Z848" t="s">
        <v>11166</v>
      </c>
      <c r="AA848" t="s">
        <v>74</v>
      </c>
      <c r="AB848" t="s">
        <v>74</v>
      </c>
      <c r="AC848" t="s">
        <v>74</v>
      </c>
      <c r="AD848" t="s">
        <v>74</v>
      </c>
      <c r="AE848" t="s">
        <v>74</v>
      </c>
      <c r="AF848" t="s">
        <v>74</v>
      </c>
      <c r="AG848">
        <v>327</v>
      </c>
      <c r="AH848">
        <v>429</v>
      </c>
      <c r="AI848">
        <v>477</v>
      </c>
      <c r="AJ848">
        <v>11</v>
      </c>
      <c r="AK848">
        <v>283</v>
      </c>
      <c r="AL848" t="s">
        <v>3007</v>
      </c>
      <c r="AM848" t="s">
        <v>3008</v>
      </c>
      <c r="AN848" t="s">
        <v>3009</v>
      </c>
      <c r="AO848" t="s">
        <v>5272</v>
      </c>
      <c r="AP848" t="s">
        <v>74</v>
      </c>
      <c r="AQ848" t="s">
        <v>74</v>
      </c>
      <c r="AR848" t="s">
        <v>5273</v>
      </c>
      <c r="AS848" t="s">
        <v>5274</v>
      </c>
      <c r="AT848" t="s">
        <v>9967</v>
      </c>
      <c r="AU848">
        <v>2008</v>
      </c>
      <c r="AV848">
        <v>76</v>
      </c>
      <c r="AW848">
        <v>3</v>
      </c>
      <c r="AX848" t="s">
        <v>74</v>
      </c>
      <c r="AY848" t="s">
        <v>74</v>
      </c>
      <c r="AZ848" t="s">
        <v>74</v>
      </c>
      <c r="BA848" t="s">
        <v>74</v>
      </c>
      <c r="BB848">
        <v>217</v>
      </c>
      <c r="BC848">
        <v>285</v>
      </c>
      <c r="BD848" t="s">
        <v>74</v>
      </c>
      <c r="BE848" t="s">
        <v>11167</v>
      </c>
      <c r="BF848" t="str">
        <f>HYPERLINK("http://dx.doi.org/10.1016/j.pocean.2007.11.003","http://dx.doi.org/10.1016/j.pocean.2007.11.003")</f>
        <v>http://dx.doi.org/10.1016/j.pocean.2007.11.003</v>
      </c>
      <c r="BG848" t="s">
        <v>74</v>
      </c>
      <c r="BH848" t="s">
        <v>74</v>
      </c>
      <c r="BI848">
        <v>69</v>
      </c>
      <c r="BJ848" t="s">
        <v>3447</v>
      </c>
      <c r="BK848" t="s">
        <v>419</v>
      </c>
      <c r="BL848" t="s">
        <v>3447</v>
      </c>
      <c r="BM848" t="s">
        <v>11168</v>
      </c>
      <c r="BN848" t="s">
        <v>74</v>
      </c>
      <c r="BO848" t="s">
        <v>74</v>
      </c>
      <c r="BP848" t="s">
        <v>74</v>
      </c>
      <c r="BQ848" t="s">
        <v>74</v>
      </c>
      <c r="BR848" t="s">
        <v>101</v>
      </c>
      <c r="BS848" t="s">
        <v>11169</v>
      </c>
      <c r="BT848" t="str">
        <f>HYPERLINK("https%3A%2F%2Fwww.webofscience.com%2Fwos%2Fwoscc%2Ffull-record%2FWOS:000255620700001","View Full Record in Web of Science")</f>
        <v>View Full Record in Web of Science</v>
      </c>
    </row>
    <row r="849" spans="1:72" x14ac:dyDescent="0.15">
      <c r="A849" t="s">
        <v>72</v>
      </c>
      <c r="B849" t="s">
        <v>11170</v>
      </c>
      <c r="C849" t="s">
        <v>74</v>
      </c>
      <c r="D849" t="s">
        <v>74</v>
      </c>
      <c r="E849" t="s">
        <v>74</v>
      </c>
      <c r="F849" t="s">
        <v>11171</v>
      </c>
      <c r="G849" t="s">
        <v>74</v>
      </c>
      <c r="H849" t="s">
        <v>74</v>
      </c>
      <c r="I849" t="s">
        <v>11172</v>
      </c>
      <c r="J849" t="s">
        <v>11173</v>
      </c>
      <c r="K849" t="s">
        <v>74</v>
      </c>
      <c r="L849" t="s">
        <v>74</v>
      </c>
      <c r="M849" t="s">
        <v>78</v>
      </c>
      <c r="N849" t="s">
        <v>2737</v>
      </c>
      <c r="O849" t="s">
        <v>74</v>
      </c>
      <c r="P849" t="s">
        <v>74</v>
      </c>
      <c r="Q849" t="s">
        <v>74</v>
      </c>
      <c r="R849" t="s">
        <v>74</v>
      </c>
      <c r="S849" t="s">
        <v>74</v>
      </c>
      <c r="T849" t="s">
        <v>74</v>
      </c>
      <c r="U849" t="s">
        <v>11174</v>
      </c>
      <c r="V849" t="s">
        <v>11175</v>
      </c>
      <c r="W849" t="s">
        <v>11176</v>
      </c>
      <c r="X849" t="s">
        <v>74</v>
      </c>
      <c r="Y849" t="s">
        <v>11177</v>
      </c>
      <c r="Z849" t="s">
        <v>11178</v>
      </c>
      <c r="AA849" t="s">
        <v>11179</v>
      </c>
      <c r="AB849" t="s">
        <v>11180</v>
      </c>
      <c r="AC849" t="s">
        <v>74</v>
      </c>
      <c r="AD849" t="s">
        <v>74</v>
      </c>
      <c r="AE849" t="s">
        <v>74</v>
      </c>
      <c r="AF849" t="s">
        <v>74</v>
      </c>
      <c r="AG849">
        <v>63</v>
      </c>
      <c r="AH849">
        <v>30</v>
      </c>
      <c r="AI849">
        <v>34</v>
      </c>
      <c r="AJ849">
        <v>0</v>
      </c>
      <c r="AK849">
        <v>9</v>
      </c>
      <c r="AL849" t="s">
        <v>3007</v>
      </c>
      <c r="AM849" t="s">
        <v>3008</v>
      </c>
      <c r="AN849" t="s">
        <v>3009</v>
      </c>
      <c r="AO849" t="s">
        <v>11181</v>
      </c>
      <c r="AP849" t="s">
        <v>11182</v>
      </c>
      <c r="AQ849" t="s">
        <v>74</v>
      </c>
      <c r="AR849" t="s">
        <v>11183</v>
      </c>
      <c r="AS849" t="s">
        <v>11184</v>
      </c>
      <c r="AT849" t="s">
        <v>9967</v>
      </c>
      <c r="AU849">
        <v>2008</v>
      </c>
      <c r="AV849">
        <v>180</v>
      </c>
      <c r="AW849" t="s">
        <v>74</v>
      </c>
      <c r="AX849" t="s">
        <v>74</v>
      </c>
      <c r="AY849" t="s">
        <v>74</v>
      </c>
      <c r="AZ849" t="s">
        <v>74</v>
      </c>
      <c r="BA849" t="s">
        <v>74</v>
      </c>
      <c r="BB849">
        <v>63</v>
      </c>
      <c r="BC849">
        <v>74</v>
      </c>
      <c r="BD849" t="s">
        <v>74</v>
      </c>
      <c r="BE849" t="s">
        <v>11185</v>
      </c>
      <c r="BF849" t="str">
        <f>HYPERLINK("http://dx.doi.org/10.1016/j.quaint.2007.08.012","http://dx.doi.org/10.1016/j.quaint.2007.08.012")</f>
        <v>http://dx.doi.org/10.1016/j.quaint.2007.08.012</v>
      </c>
      <c r="BG849" t="s">
        <v>74</v>
      </c>
      <c r="BH849" t="s">
        <v>74</v>
      </c>
      <c r="BI849">
        <v>12</v>
      </c>
      <c r="BJ849" t="s">
        <v>3015</v>
      </c>
      <c r="BK849" t="s">
        <v>419</v>
      </c>
      <c r="BL849" t="s">
        <v>3016</v>
      </c>
      <c r="BM849" t="s">
        <v>11186</v>
      </c>
      <c r="BN849" t="s">
        <v>74</v>
      </c>
      <c r="BO849" t="s">
        <v>74</v>
      </c>
      <c r="BP849" t="s">
        <v>74</v>
      </c>
      <c r="BQ849" t="s">
        <v>74</v>
      </c>
      <c r="BR849" t="s">
        <v>101</v>
      </c>
      <c r="BS849" t="s">
        <v>11187</v>
      </c>
      <c r="BT849" t="str">
        <f>HYPERLINK("https%3A%2F%2Fwww.webofscience.com%2Fwos%2Fwoscc%2Ffull-record%2FWOS:000256118700008","View Full Record in Web of Science")</f>
        <v>View Full Record in Web of Science</v>
      </c>
    </row>
    <row r="850" spans="1:72" x14ac:dyDescent="0.15">
      <c r="A850" t="s">
        <v>72</v>
      </c>
      <c r="B850" t="s">
        <v>11188</v>
      </c>
      <c r="C850" t="s">
        <v>74</v>
      </c>
      <c r="D850" t="s">
        <v>74</v>
      </c>
      <c r="E850" t="s">
        <v>74</v>
      </c>
      <c r="F850" t="s">
        <v>11189</v>
      </c>
      <c r="G850" t="s">
        <v>74</v>
      </c>
      <c r="H850" t="s">
        <v>74</v>
      </c>
      <c r="I850" t="s">
        <v>11190</v>
      </c>
      <c r="J850" t="s">
        <v>2998</v>
      </c>
      <c r="K850" t="s">
        <v>74</v>
      </c>
      <c r="L850" t="s">
        <v>74</v>
      </c>
      <c r="M850" t="s">
        <v>78</v>
      </c>
      <c r="N850" t="s">
        <v>2737</v>
      </c>
      <c r="O850" t="s">
        <v>74</v>
      </c>
      <c r="P850" t="s">
        <v>74</v>
      </c>
      <c r="Q850" t="s">
        <v>74</v>
      </c>
      <c r="R850" t="s">
        <v>74</v>
      </c>
      <c r="S850" t="s">
        <v>74</v>
      </c>
      <c r="T850" t="s">
        <v>74</v>
      </c>
      <c r="U850" t="s">
        <v>11191</v>
      </c>
      <c r="V850" t="s">
        <v>11192</v>
      </c>
      <c r="W850" t="s">
        <v>11193</v>
      </c>
      <c r="X850" t="s">
        <v>11194</v>
      </c>
      <c r="Y850" t="s">
        <v>11195</v>
      </c>
      <c r="Z850" t="s">
        <v>11196</v>
      </c>
      <c r="AA850" t="s">
        <v>11197</v>
      </c>
      <c r="AB850" t="s">
        <v>11198</v>
      </c>
      <c r="AC850" t="s">
        <v>11199</v>
      </c>
      <c r="AD850" t="s">
        <v>2792</v>
      </c>
      <c r="AE850" t="s">
        <v>74</v>
      </c>
      <c r="AF850" t="s">
        <v>74</v>
      </c>
      <c r="AG850">
        <v>57</v>
      </c>
      <c r="AH850">
        <v>45</v>
      </c>
      <c r="AI850">
        <v>51</v>
      </c>
      <c r="AJ850">
        <v>2</v>
      </c>
      <c r="AK850">
        <v>20</v>
      </c>
      <c r="AL850" t="s">
        <v>3007</v>
      </c>
      <c r="AM850" t="s">
        <v>3008</v>
      </c>
      <c r="AN850" t="s">
        <v>3009</v>
      </c>
      <c r="AO850" t="s">
        <v>3010</v>
      </c>
      <c r="AP850" t="s">
        <v>74</v>
      </c>
      <c r="AQ850" t="s">
        <v>74</v>
      </c>
      <c r="AR850" t="s">
        <v>3011</v>
      </c>
      <c r="AS850" t="s">
        <v>3012</v>
      </c>
      <c r="AT850" t="s">
        <v>9967</v>
      </c>
      <c r="AU850">
        <v>2008</v>
      </c>
      <c r="AV850">
        <v>27</v>
      </c>
      <c r="AW850" t="s">
        <v>6429</v>
      </c>
      <c r="AX850" t="s">
        <v>74</v>
      </c>
      <c r="AY850" t="s">
        <v>74</v>
      </c>
      <c r="AZ850" t="s">
        <v>74</v>
      </c>
      <c r="BA850" t="s">
        <v>74</v>
      </c>
      <c r="BB850">
        <v>518</v>
      </c>
      <c r="BC850">
        <v>540</v>
      </c>
      <c r="BD850" t="s">
        <v>74</v>
      </c>
      <c r="BE850" t="s">
        <v>11200</v>
      </c>
      <c r="BF850" t="str">
        <f>HYPERLINK("http://dx.doi.org/10.1016/j.quascirev.2007.11.009","http://dx.doi.org/10.1016/j.quascirev.2007.11.009")</f>
        <v>http://dx.doi.org/10.1016/j.quascirev.2007.11.009</v>
      </c>
      <c r="BG850" t="s">
        <v>74</v>
      </c>
      <c r="BH850" t="s">
        <v>74</v>
      </c>
      <c r="BI850">
        <v>23</v>
      </c>
      <c r="BJ850" t="s">
        <v>3015</v>
      </c>
      <c r="BK850" t="s">
        <v>419</v>
      </c>
      <c r="BL850" t="s">
        <v>3016</v>
      </c>
      <c r="BM850" t="s">
        <v>11201</v>
      </c>
      <c r="BN850" t="s">
        <v>74</v>
      </c>
      <c r="BO850" t="s">
        <v>74</v>
      </c>
      <c r="BP850" t="s">
        <v>74</v>
      </c>
      <c r="BQ850" t="s">
        <v>74</v>
      </c>
      <c r="BR850" t="s">
        <v>101</v>
      </c>
      <c r="BS850" t="s">
        <v>11202</v>
      </c>
      <c r="BT850" t="str">
        <f>HYPERLINK("https%3A%2F%2Fwww.webofscience.com%2Fwos%2Fwoscc%2Ffull-record%2FWOS:000255351900007","View Full Record in Web of Science")</f>
        <v>View Full Record in Web of Science</v>
      </c>
    </row>
    <row r="851" spans="1:72" x14ac:dyDescent="0.15">
      <c r="A851" t="s">
        <v>72</v>
      </c>
      <c r="B851" t="s">
        <v>11203</v>
      </c>
      <c r="C851" t="s">
        <v>74</v>
      </c>
      <c r="D851" t="s">
        <v>74</v>
      </c>
      <c r="E851" t="s">
        <v>74</v>
      </c>
      <c r="F851" t="s">
        <v>11204</v>
      </c>
      <c r="G851" t="s">
        <v>74</v>
      </c>
      <c r="H851" t="s">
        <v>74</v>
      </c>
      <c r="I851" t="s">
        <v>11205</v>
      </c>
      <c r="J851" t="s">
        <v>2998</v>
      </c>
      <c r="K851" t="s">
        <v>74</v>
      </c>
      <c r="L851" t="s">
        <v>74</v>
      </c>
      <c r="M851" t="s">
        <v>78</v>
      </c>
      <c r="N851" t="s">
        <v>2737</v>
      </c>
      <c r="O851" t="s">
        <v>74</v>
      </c>
      <c r="P851" t="s">
        <v>74</v>
      </c>
      <c r="Q851" t="s">
        <v>74</v>
      </c>
      <c r="R851" t="s">
        <v>74</v>
      </c>
      <c r="S851" t="s">
        <v>74</v>
      </c>
      <c r="T851" t="s">
        <v>74</v>
      </c>
      <c r="U851" t="s">
        <v>11206</v>
      </c>
      <c r="V851" t="s">
        <v>11207</v>
      </c>
      <c r="W851" t="s">
        <v>11208</v>
      </c>
      <c r="X851" t="s">
        <v>11209</v>
      </c>
      <c r="Y851" t="s">
        <v>11210</v>
      </c>
      <c r="Z851" t="s">
        <v>11211</v>
      </c>
      <c r="AA851" t="s">
        <v>11212</v>
      </c>
      <c r="AB851" t="s">
        <v>11213</v>
      </c>
      <c r="AC851" t="s">
        <v>74</v>
      </c>
      <c r="AD851" t="s">
        <v>74</v>
      </c>
      <c r="AE851" t="s">
        <v>74</v>
      </c>
      <c r="AF851" t="s">
        <v>74</v>
      </c>
      <c r="AG851">
        <v>64</v>
      </c>
      <c r="AH851">
        <v>48</v>
      </c>
      <c r="AI851">
        <v>51</v>
      </c>
      <c r="AJ851">
        <v>2</v>
      </c>
      <c r="AK851">
        <v>15</v>
      </c>
      <c r="AL851" t="s">
        <v>3007</v>
      </c>
      <c r="AM851" t="s">
        <v>3008</v>
      </c>
      <c r="AN851" t="s">
        <v>3009</v>
      </c>
      <c r="AO851" t="s">
        <v>3010</v>
      </c>
      <c r="AP851" t="s">
        <v>74</v>
      </c>
      <c r="AQ851" t="s">
        <v>74</v>
      </c>
      <c r="AR851" t="s">
        <v>3011</v>
      </c>
      <c r="AS851" t="s">
        <v>3012</v>
      </c>
      <c r="AT851" t="s">
        <v>9967</v>
      </c>
      <c r="AU851">
        <v>2008</v>
      </c>
      <c r="AV851">
        <v>27</v>
      </c>
      <c r="AW851" t="s">
        <v>6429</v>
      </c>
      <c r="AX851" t="s">
        <v>74</v>
      </c>
      <c r="AY851" t="s">
        <v>74</v>
      </c>
      <c r="AZ851" t="s">
        <v>74</v>
      </c>
      <c r="BA851" t="s">
        <v>74</v>
      </c>
      <c r="BB851">
        <v>589</v>
      </c>
      <c r="BC851">
        <v>601</v>
      </c>
      <c r="BD851" t="s">
        <v>74</v>
      </c>
      <c r="BE851" t="s">
        <v>11214</v>
      </c>
      <c r="BF851" t="str">
        <f>HYPERLINK("http://dx.doi.org/10.1016/j.quascirev.2007.11.015","http://dx.doi.org/10.1016/j.quascirev.2007.11.015")</f>
        <v>http://dx.doi.org/10.1016/j.quascirev.2007.11.015</v>
      </c>
      <c r="BG851" t="s">
        <v>74</v>
      </c>
      <c r="BH851" t="s">
        <v>74</v>
      </c>
      <c r="BI851">
        <v>13</v>
      </c>
      <c r="BJ851" t="s">
        <v>3015</v>
      </c>
      <c r="BK851" t="s">
        <v>419</v>
      </c>
      <c r="BL851" t="s">
        <v>3016</v>
      </c>
      <c r="BM851" t="s">
        <v>11201</v>
      </c>
      <c r="BN851" t="s">
        <v>74</v>
      </c>
      <c r="BO851" t="s">
        <v>3311</v>
      </c>
      <c r="BP851" t="s">
        <v>74</v>
      </c>
      <c r="BQ851" t="s">
        <v>74</v>
      </c>
      <c r="BR851" t="s">
        <v>101</v>
      </c>
      <c r="BS851" t="s">
        <v>11215</v>
      </c>
      <c r="BT851" t="str">
        <f>HYPERLINK("https%3A%2F%2Fwww.webofscience.com%2Fwos%2Fwoscc%2Ffull-record%2FWOS:000255351900012","View Full Record in Web of Science")</f>
        <v>View Full Record in Web of Science</v>
      </c>
    </row>
    <row r="852" spans="1:72" x14ac:dyDescent="0.15">
      <c r="A852" t="s">
        <v>72</v>
      </c>
      <c r="B852" t="s">
        <v>11216</v>
      </c>
      <c r="C852" t="s">
        <v>74</v>
      </c>
      <c r="D852" t="s">
        <v>74</v>
      </c>
      <c r="E852" t="s">
        <v>74</v>
      </c>
      <c r="F852" t="s">
        <v>11217</v>
      </c>
      <c r="G852" t="s">
        <v>74</v>
      </c>
      <c r="H852" t="s">
        <v>74</v>
      </c>
      <c r="I852" t="s">
        <v>11218</v>
      </c>
      <c r="J852" t="s">
        <v>2998</v>
      </c>
      <c r="K852" t="s">
        <v>74</v>
      </c>
      <c r="L852" t="s">
        <v>74</v>
      </c>
      <c r="M852" t="s">
        <v>78</v>
      </c>
      <c r="N852" t="s">
        <v>2737</v>
      </c>
      <c r="O852" t="s">
        <v>74</v>
      </c>
      <c r="P852" t="s">
        <v>74</v>
      </c>
      <c r="Q852" t="s">
        <v>74</v>
      </c>
      <c r="R852" t="s">
        <v>74</v>
      </c>
      <c r="S852" t="s">
        <v>74</v>
      </c>
      <c r="T852" t="s">
        <v>74</v>
      </c>
      <c r="U852" t="s">
        <v>11219</v>
      </c>
      <c r="V852" t="s">
        <v>11220</v>
      </c>
      <c r="W852" t="s">
        <v>11221</v>
      </c>
      <c r="X852" t="s">
        <v>11222</v>
      </c>
      <c r="Y852" t="s">
        <v>11223</v>
      </c>
      <c r="Z852" t="s">
        <v>426</v>
      </c>
      <c r="AA852" t="s">
        <v>427</v>
      </c>
      <c r="AB852" t="s">
        <v>11224</v>
      </c>
      <c r="AC852" t="s">
        <v>74</v>
      </c>
      <c r="AD852" t="s">
        <v>74</v>
      </c>
      <c r="AE852" t="s">
        <v>74</v>
      </c>
      <c r="AF852" t="s">
        <v>74</v>
      </c>
      <c r="AG852">
        <v>62</v>
      </c>
      <c r="AH852">
        <v>28</v>
      </c>
      <c r="AI852">
        <v>31</v>
      </c>
      <c r="AJ852">
        <v>1</v>
      </c>
      <c r="AK852">
        <v>10</v>
      </c>
      <c r="AL852" t="s">
        <v>3007</v>
      </c>
      <c r="AM852" t="s">
        <v>3008</v>
      </c>
      <c r="AN852" t="s">
        <v>3009</v>
      </c>
      <c r="AO852" t="s">
        <v>3010</v>
      </c>
      <c r="AP852" t="s">
        <v>7021</v>
      </c>
      <c r="AQ852" t="s">
        <v>74</v>
      </c>
      <c r="AR852" t="s">
        <v>3011</v>
      </c>
      <c r="AS852" t="s">
        <v>3012</v>
      </c>
      <c r="AT852" t="s">
        <v>9967</v>
      </c>
      <c r="AU852">
        <v>2008</v>
      </c>
      <c r="AV852">
        <v>27</v>
      </c>
      <c r="AW852" t="s">
        <v>6429</v>
      </c>
      <c r="AX852" t="s">
        <v>74</v>
      </c>
      <c r="AY852" t="s">
        <v>74</v>
      </c>
      <c r="AZ852" t="s">
        <v>74</v>
      </c>
      <c r="BA852" t="s">
        <v>74</v>
      </c>
      <c r="BB852">
        <v>602</v>
      </c>
      <c r="BC852">
        <v>620</v>
      </c>
      <c r="BD852" t="s">
        <v>74</v>
      </c>
      <c r="BE852" t="s">
        <v>11225</v>
      </c>
      <c r="BF852" t="str">
        <f>HYPERLINK("http://dx.doi.org/10.1016/j.quascirev.2007.11.017","http://dx.doi.org/10.1016/j.quascirev.2007.11.017")</f>
        <v>http://dx.doi.org/10.1016/j.quascirev.2007.11.017</v>
      </c>
      <c r="BG852" t="s">
        <v>74</v>
      </c>
      <c r="BH852" t="s">
        <v>74</v>
      </c>
      <c r="BI852">
        <v>19</v>
      </c>
      <c r="BJ852" t="s">
        <v>3015</v>
      </c>
      <c r="BK852" t="s">
        <v>419</v>
      </c>
      <c r="BL852" t="s">
        <v>3016</v>
      </c>
      <c r="BM852" t="s">
        <v>11201</v>
      </c>
      <c r="BN852" t="s">
        <v>74</v>
      </c>
      <c r="BO852" t="s">
        <v>74</v>
      </c>
      <c r="BP852" t="s">
        <v>74</v>
      </c>
      <c r="BQ852" t="s">
        <v>74</v>
      </c>
      <c r="BR852" t="s">
        <v>101</v>
      </c>
      <c r="BS852" t="s">
        <v>11226</v>
      </c>
      <c r="BT852" t="str">
        <f>HYPERLINK("https%3A%2F%2Fwww.webofscience.com%2Fwos%2Fwoscc%2Ffull-record%2FWOS:000255351900013","View Full Record in Web of Science")</f>
        <v>View Full Record in Web of Science</v>
      </c>
    </row>
    <row r="853" spans="1:72" x14ac:dyDescent="0.15">
      <c r="A853" t="s">
        <v>72</v>
      </c>
      <c r="B853" t="s">
        <v>11227</v>
      </c>
      <c r="C853" t="s">
        <v>74</v>
      </c>
      <c r="D853" t="s">
        <v>74</v>
      </c>
      <c r="E853" t="s">
        <v>74</v>
      </c>
      <c r="F853" t="s">
        <v>11228</v>
      </c>
      <c r="G853" t="s">
        <v>74</v>
      </c>
      <c r="H853" t="s">
        <v>74</v>
      </c>
      <c r="I853" t="s">
        <v>11229</v>
      </c>
      <c r="J853" t="s">
        <v>5329</v>
      </c>
      <c r="K853" t="s">
        <v>74</v>
      </c>
      <c r="L853" t="s">
        <v>74</v>
      </c>
      <c r="M853" t="s">
        <v>11230</v>
      </c>
      <c r="N853" t="s">
        <v>2737</v>
      </c>
      <c r="O853" t="s">
        <v>74</v>
      </c>
      <c r="P853" t="s">
        <v>74</v>
      </c>
      <c r="Q853" t="s">
        <v>74</v>
      </c>
      <c r="R853" t="s">
        <v>74</v>
      </c>
      <c r="S853" t="s">
        <v>74</v>
      </c>
      <c r="T853" t="s">
        <v>11231</v>
      </c>
      <c r="U853" t="s">
        <v>74</v>
      </c>
      <c r="V853" t="s">
        <v>11232</v>
      </c>
      <c r="W853" t="s">
        <v>11233</v>
      </c>
      <c r="X853" t="s">
        <v>11234</v>
      </c>
      <c r="Y853" t="s">
        <v>11235</v>
      </c>
      <c r="Z853" t="s">
        <v>11236</v>
      </c>
      <c r="AA853" t="s">
        <v>74</v>
      </c>
      <c r="AB853" t="s">
        <v>74</v>
      </c>
      <c r="AC853" t="s">
        <v>74</v>
      </c>
      <c r="AD853" t="s">
        <v>74</v>
      </c>
      <c r="AE853" t="s">
        <v>74</v>
      </c>
      <c r="AF853" t="s">
        <v>74</v>
      </c>
      <c r="AG853">
        <v>10</v>
      </c>
      <c r="AH853">
        <v>2</v>
      </c>
      <c r="AI853">
        <v>4</v>
      </c>
      <c r="AJ853">
        <v>0</v>
      </c>
      <c r="AK853">
        <v>2</v>
      </c>
      <c r="AL853" t="s">
        <v>5341</v>
      </c>
      <c r="AM853" t="s">
        <v>5342</v>
      </c>
      <c r="AN853" t="s">
        <v>5343</v>
      </c>
      <c r="AO853" t="s">
        <v>5344</v>
      </c>
      <c r="AP853" t="s">
        <v>74</v>
      </c>
      <c r="AQ853" t="s">
        <v>74</v>
      </c>
      <c r="AR853" t="s">
        <v>5345</v>
      </c>
      <c r="AS853" t="s">
        <v>5346</v>
      </c>
      <c r="AT853" t="s">
        <v>9967</v>
      </c>
      <c r="AU853">
        <v>2008</v>
      </c>
      <c r="AV853">
        <v>16</v>
      </c>
      <c r="AW853">
        <v>1</v>
      </c>
      <c r="AX853" t="s">
        <v>74</v>
      </c>
      <c r="AY853" t="s">
        <v>74</v>
      </c>
      <c r="AZ853" t="s">
        <v>74</v>
      </c>
      <c r="BA853" t="s">
        <v>74</v>
      </c>
      <c r="BB853">
        <v>64</v>
      </c>
      <c r="BC853">
        <v>66</v>
      </c>
      <c r="BD853" t="s">
        <v>74</v>
      </c>
      <c r="BE853" t="s">
        <v>74</v>
      </c>
      <c r="BF853" t="s">
        <v>74</v>
      </c>
      <c r="BG853" t="s">
        <v>74</v>
      </c>
      <c r="BH853" t="s">
        <v>74</v>
      </c>
      <c r="BI853">
        <v>3</v>
      </c>
      <c r="BJ853" t="s">
        <v>5347</v>
      </c>
      <c r="BK853" t="s">
        <v>419</v>
      </c>
      <c r="BL853" t="s">
        <v>3203</v>
      </c>
      <c r="BM853" t="s">
        <v>11237</v>
      </c>
      <c r="BN853" t="s">
        <v>74</v>
      </c>
      <c r="BO853" t="s">
        <v>74</v>
      </c>
      <c r="BP853" t="s">
        <v>74</v>
      </c>
      <c r="BQ853" t="s">
        <v>74</v>
      </c>
      <c r="BR853" t="s">
        <v>101</v>
      </c>
      <c r="BS853" t="s">
        <v>11238</v>
      </c>
      <c r="BT853" t="str">
        <f>HYPERLINK("https%3A%2F%2Fwww.webofscience.com%2Fwos%2Fwoscc%2Ffull-record%2FWOS:000208355700013","View Full Record in Web of Science")</f>
        <v>View Full Record in Web of Science</v>
      </c>
    </row>
    <row r="854" spans="1:72" x14ac:dyDescent="0.15">
      <c r="A854" t="s">
        <v>72</v>
      </c>
      <c r="B854" t="s">
        <v>11239</v>
      </c>
      <c r="C854" t="s">
        <v>74</v>
      </c>
      <c r="D854" t="s">
        <v>74</v>
      </c>
      <c r="E854" t="s">
        <v>74</v>
      </c>
      <c r="F854" t="s">
        <v>11240</v>
      </c>
      <c r="G854" t="s">
        <v>74</v>
      </c>
      <c r="H854" t="s">
        <v>74</v>
      </c>
      <c r="I854" t="s">
        <v>11241</v>
      </c>
      <c r="J854" t="s">
        <v>11242</v>
      </c>
      <c r="K854" t="s">
        <v>74</v>
      </c>
      <c r="L854" t="s">
        <v>74</v>
      </c>
      <c r="M854" t="s">
        <v>78</v>
      </c>
      <c r="N854" t="s">
        <v>2737</v>
      </c>
      <c r="O854" t="s">
        <v>74</v>
      </c>
      <c r="P854" t="s">
        <v>74</v>
      </c>
      <c r="Q854" t="s">
        <v>74</v>
      </c>
      <c r="R854" t="s">
        <v>74</v>
      </c>
      <c r="S854" t="s">
        <v>74</v>
      </c>
      <c r="T854" t="s">
        <v>11243</v>
      </c>
      <c r="U854" t="s">
        <v>11244</v>
      </c>
      <c r="V854" t="s">
        <v>11245</v>
      </c>
      <c r="W854" t="s">
        <v>11246</v>
      </c>
      <c r="X854" t="s">
        <v>11247</v>
      </c>
      <c r="Y854" t="s">
        <v>11248</v>
      </c>
      <c r="Z854" t="s">
        <v>11249</v>
      </c>
      <c r="AA854" t="s">
        <v>11250</v>
      </c>
      <c r="AB854" t="s">
        <v>11251</v>
      </c>
      <c r="AC854" t="s">
        <v>74</v>
      </c>
      <c r="AD854" t="s">
        <v>74</v>
      </c>
      <c r="AE854" t="s">
        <v>74</v>
      </c>
      <c r="AF854" t="s">
        <v>74</v>
      </c>
      <c r="AG854">
        <v>58</v>
      </c>
      <c r="AH854">
        <v>49</v>
      </c>
      <c r="AI854">
        <v>56</v>
      </c>
      <c r="AJ854">
        <v>0</v>
      </c>
      <c r="AK854">
        <v>23</v>
      </c>
      <c r="AL854" t="s">
        <v>149</v>
      </c>
      <c r="AM854" t="s">
        <v>150</v>
      </c>
      <c r="AN854" t="s">
        <v>151</v>
      </c>
      <c r="AO854" t="s">
        <v>11252</v>
      </c>
      <c r="AP854" t="s">
        <v>74</v>
      </c>
      <c r="AQ854" t="s">
        <v>74</v>
      </c>
      <c r="AR854" t="s">
        <v>11253</v>
      </c>
      <c r="AS854" t="s">
        <v>11254</v>
      </c>
      <c r="AT854" t="s">
        <v>9967</v>
      </c>
      <c r="AU854">
        <v>2008</v>
      </c>
      <c r="AV854">
        <v>24</v>
      </c>
      <c r="AW854">
        <v>3</v>
      </c>
      <c r="AX854" t="s">
        <v>74</v>
      </c>
      <c r="AY854" t="s">
        <v>74</v>
      </c>
      <c r="AZ854" t="s">
        <v>74</v>
      </c>
      <c r="BA854" t="s">
        <v>74</v>
      </c>
      <c r="BB854">
        <v>249</v>
      </c>
      <c r="BC854">
        <v>266</v>
      </c>
      <c r="BD854" t="s">
        <v>74</v>
      </c>
      <c r="BE854" t="s">
        <v>11255</v>
      </c>
      <c r="BF854" t="str">
        <f>HYPERLINK("http://dx.doi.org/10.1002/rra.1062","http://dx.doi.org/10.1002/rra.1062")</f>
        <v>http://dx.doi.org/10.1002/rra.1062</v>
      </c>
      <c r="BG854" t="s">
        <v>74</v>
      </c>
      <c r="BH854" t="s">
        <v>74</v>
      </c>
      <c r="BI854">
        <v>18</v>
      </c>
      <c r="BJ854" t="s">
        <v>11256</v>
      </c>
      <c r="BK854" t="s">
        <v>419</v>
      </c>
      <c r="BL854" t="s">
        <v>11257</v>
      </c>
      <c r="BM854" t="s">
        <v>11258</v>
      </c>
      <c r="BN854" t="s">
        <v>74</v>
      </c>
      <c r="BO854" t="s">
        <v>74</v>
      </c>
      <c r="BP854" t="s">
        <v>74</v>
      </c>
      <c r="BQ854" t="s">
        <v>74</v>
      </c>
      <c r="BR854" t="s">
        <v>101</v>
      </c>
      <c r="BS854" t="s">
        <v>11259</v>
      </c>
      <c r="BT854" t="str">
        <f>HYPERLINK("https%3A%2F%2Fwww.webofscience.com%2Fwos%2Fwoscc%2Ffull-record%2FWOS:000255303000002","View Full Record in Web of Science")</f>
        <v>View Full Record in Web of Science</v>
      </c>
    </row>
    <row r="855" spans="1:72" x14ac:dyDescent="0.15">
      <c r="A855" t="s">
        <v>72</v>
      </c>
      <c r="B855" t="s">
        <v>11260</v>
      </c>
      <c r="C855" t="s">
        <v>74</v>
      </c>
      <c r="D855" t="s">
        <v>74</v>
      </c>
      <c r="E855" t="s">
        <v>74</v>
      </c>
      <c r="F855" t="s">
        <v>11261</v>
      </c>
      <c r="G855" t="s">
        <v>74</v>
      </c>
      <c r="H855" t="s">
        <v>74</v>
      </c>
      <c r="I855" t="s">
        <v>11262</v>
      </c>
      <c r="J855" t="s">
        <v>11263</v>
      </c>
      <c r="K855" t="s">
        <v>74</v>
      </c>
      <c r="L855" t="s">
        <v>74</v>
      </c>
      <c r="M855" t="s">
        <v>78</v>
      </c>
      <c r="N855" t="s">
        <v>2737</v>
      </c>
      <c r="O855" t="s">
        <v>74</v>
      </c>
      <c r="P855" t="s">
        <v>74</v>
      </c>
      <c r="Q855" t="s">
        <v>74</v>
      </c>
      <c r="R855" t="s">
        <v>74</v>
      </c>
      <c r="S855" t="s">
        <v>74</v>
      </c>
      <c r="T855" t="s">
        <v>74</v>
      </c>
      <c r="U855" t="s">
        <v>74</v>
      </c>
      <c r="V855" t="s">
        <v>11264</v>
      </c>
      <c r="W855" t="s">
        <v>11265</v>
      </c>
      <c r="X855" t="s">
        <v>11266</v>
      </c>
      <c r="Y855" t="s">
        <v>11267</v>
      </c>
      <c r="Z855" t="s">
        <v>11268</v>
      </c>
      <c r="AA855" t="s">
        <v>11269</v>
      </c>
      <c r="AB855" t="s">
        <v>11270</v>
      </c>
      <c r="AC855" t="s">
        <v>74</v>
      </c>
      <c r="AD855" t="s">
        <v>74</v>
      </c>
      <c r="AE855" t="s">
        <v>74</v>
      </c>
      <c r="AF855" t="s">
        <v>74</v>
      </c>
      <c r="AG855">
        <v>13</v>
      </c>
      <c r="AH855">
        <v>4</v>
      </c>
      <c r="AI855">
        <v>5</v>
      </c>
      <c r="AJ855">
        <v>0</v>
      </c>
      <c r="AK855">
        <v>4</v>
      </c>
      <c r="AL855" t="s">
        <v>2746</v>
      </c>
      <c r="AM855" t="s">
        <v>2793</v>
      </c>
      <c r="AN855" t="s">
        <v>2794</v>
      </c>
      <c r="AO855" t="s">
        <v>11271</v>
      </c>
      <c r="AP855" t="s">
        <v>74</v>
      </c>
      <c r="AQ855" t="s">
        <v>74</v>
      </c>
      <c r="AR855" t="s">
        <v>11272</v>
      </c>
      <c r="AS855" t="s">
        <v>11273</v>
      </c>
      <c r="AT855" t="s">
        <v>9967</v>
      </c>
      <c r="AU855">
        <v>2008</v>
      </c>
      <c r="AV855">
        <v>69</v>
      </c>
      <c r="AW855">
        <v>3</v>
      </c>
      <c r="AX855" t="s">
        <v>74</v>
      </c>
      <c r="AY855" t="s">
        <v>74</v>
      </c>
      <c r="AZ855" t="s">
        <v>74</v>
      </c>
      <c r="BA855" t="s">
        <v>74</v>
      </c>
      <c r="BB855">
        <v>179</v>
      </c>
      <c r="BC855">
        <v>183</v>
      </c>
      <c r="BD855" t="s">
        <v>74</v>
      </c>
      <c r="BE855" t="s">
        <v>11274</v>
      </c>
      <c r="BF855" t="str">
        <f>HYPERLINK("http://dx.doi.org/10.1007/s11230-007-9114-6","http://dx.doi.org/10.1007/s11230-007-9114-6")</f>
        <v>http://dx.doi.org/10.1007/s11230-007-9114-6</v>
      </c>
      <c r="BG855" t="s">
        <v>74</v>
      </c>
      <c r="BH855" t="s">
        <v>74</v>
      </c>
      <c r="BI855">
        <v>5</v>
      </c>
      <c r="BJ855" t="s">
        <v>11275</v>
      </c>
      <c r="BK855" t="s">
        <v>419</v>
      </c>
      <c r="BL855" t="s">
        <v>11275</v>
      </c>
      <c r="BM855" t="s">
        <v>11276</v>
      </c>
      <c r="BN855">
        <v>18210217</v>
      </c>
      <c r="BO855" t="s">
        <v>74</v>
      </c>
      <c r="BP855" t="s">
        <v>74</v>
      </c>
      <c r="BQ855" t="s">
        <v>74</v>
      </c>
      <c r="BR855" t="s">
        <v>101</v>
      </c>
      <c r="BS855" t="s">
        <v>11277</v>
      </c>
      <c r="BT855" t="str">
        <f>HYPERLINK("https%3A%2F%2Fwww.webofscience.com%2Fwos%2Fwoscc%2Ffull-record%2FWOS:000252542300002","View Full Record in Web of Science")</f>
        <v>View Full Record in Web of Science</v>
      </c>
    </row>
    <row r="856" spans="1:72" x14ac:dyDescent="0.15">
      <c r="A856" t="s">
        <v>72</v>
      </c>
      <c r="B856" t="s">
        <v>11278</v>
      </c>
      <c r="C856" t="s">
        <v>74</v>
      </c>
      <c r="D856" t="s">
        <v>74</v>
      </c>
      <c r="E856" t="s">
        <v>74</v>
      </c>
      <c r="F856" t="s">
        <v>11279</v>
      </c>
      <c r="G856" t="s">
        <v>74</v>
      </c>
      <c r="H856" t="s">
        <v>74</v>
      </c>
      <c r="I856" t="s">
        <v>11280</v>
      </c>
      <c r="J856" t="s">
        <v>11281</v>
      </c>
      <c r="K856" t="s">
        <v>74</v>
      </c>
      <c r="L856" t="s">
        <v>74</v>
      </c>
      <c r="M856" t="s">
        <v>78</v>
      </c>
      <c r="N856" t="s">
        <v>2737</v>
      </c>
      <c r="O856" t="s">
        <v>74</v>
      </c>
      <c r="P856" t="s">
        <v>74</v>
      </c>
      <c r="Q856" t="s">
        <v>74</v>
      </c>
      <c r="R856" t="s">
        <v>74</v>
      </c>
      <c r="S856" t="s">
        <v>74</v>
      </c>
      <c r="T856" t="s">
        <v>74</v>
      </c>
      <c r="U856" t="s">
        <v>11282</v>
      </c>
      <c r="V856" t="s">
        <v>11283</v>
      </c>
      <c r="W856" t="s">
        <v>11284</v>
      </c>
      <c r="X856" t="s">
        <v>11285</v>
      </c>
      <c r="Y856" t="s">
        <v>11286</v>
      </c>
      <c r="Z856" t="s">
        <v>11287</v>
      </c>
      <c r="AA856" t="s">
        <v>74</v>
      </c>
      <c r="AB856" t="s">
        <v>74</v>
      </c>
      <c r="AC856" t="s">
        <v>74</v>
      </c>
      <c r="AD856" t="s">
        <v>74</v>
      </c>
      <c r="AE856" t="s">
        <v>74</v>
      </c>
      <c r="AF856" t="s">
        <v>74</v>
      </c>
      <c r="AG856">
        <v>28</v>
      </c>
      <c r="AH856">
        <v>10</v>
      </c>
      <c r="AI856">
        <v>12</v>
      </c>
      <c r="AJ856">
        <v>0</v>
      </c>
      <c r="AK856">
        <v>20</v>
      </c>
      <c r="AL856" t="s">
        <v>6206</v>
      </c>
      <c r="AM856" t="s">
        <v>3008</v>
      </c>
      <c r="AN856" t="s">
        <v>6207</v>
      </c>
      <c r="AO856" t="s">
        <v>11288</v>
      </c>
      <c r="AP856" t="s">
        <v>11289</v>
      </c>
      <c r="AQ856" t="s">
        <v>74</v>
      </c>
      <c r="AR856" t="s">
        <v>11290</v>
      </c>
      <c r="AS856" t="s">
        <v>11291</v>
      </c>
      <c r="AT856" t="s">
        <v>9967</v>
      </c>
      <c r="AU856">
        <v>2008</v>
      </c>
      <c r="AV856">
        <v>16</v>
      </c>
      <c r="AW856">
        <v>3</v>
      </c>
      <c r="AX856" t="s">
        <v>74</v>
      </c>
      <c r="AY856" t="s">
        <v>74</v>
      </c>
      <c r="AZ856" t="s">
        <v>74</v>
      </c>
      <c r="BA856" t="s">
        <v>74</v>
      </c>
      <c r="BB856">
        <v>92</v>
      </c>
      <c r="BC856">
        <v>94</v>
      </c>
      <c r="BD856" t="s">
        <v>74</v>
      </c>
      <c r="BE856" t="s">
        <v>11292</v>
      </c>
      <c r="BF856" t="str">
        <f>HYPERLINK("http://dx.doi.org/10.1016/j.tim.2008.01.002","http://dx.doi.org/10.1016/j.tim.2008.01.002")</f>
        <v>http://dx.doi.org/10.1016/j.tim.2008.01.002</v>
      </c>
      <c r="BG856" t="s">
        <v>74</v>
      </c>
      <c r="BH856" t="s">
        <v>74</v>
      </c>
      <c r="BI856">
        <v>3</v>
      </c>
      <c r="BJ856" t="s">
        <v>6386</v>
      </c>
      <c r="BK856" t="s">
        <v>419</v>
      </c>
      <c r="BL856" t="s">
        <v>6386</v>
      </c>
      <c r="BM856" t="s">
        <v>11293</v>
      </c>
      <c r="BN856">
        <v>18291656</v>
      </c>
      <c r="BO856" t="s">
        <v>74</v>
      </c>
      <c r="BP856" t="s">
        <v>74</v>
      </c>
      <c r="BQ856" t="s">
        <v>74</v>
      </c>
      <c r="BR856" t="s">
        <v>101</v>
      </c>
      <c r="BS856" t="s">
        <v>11294</v>
      </c>
      <c r="BT856" t="str">
        <f>HYPERLINK("https%3A%2F%2Fwww.webofscience.com%2Fwos%2Fwoscc%2Ffull-record%2FWOS:000254451200002","View Full Record in Web of Science")</f>
        <v>View Full Record in Web of Science</v>
      </c>
    </row>
    <row r="857" spans="1:72" x14ac:dyDescent="0.15">
      <c r="A857" t="s">
        <v>72</v>
      </c>
      <c r="B857" t="s">
        <v>11295</v>
      </c>
      <c r="C857" t="s">
        <v>74</v>
      </c>
      <c r="D857" t="s">
        <v>74</v>
      </c>
      <c r="E857" t="s">
        <v>74</v>
      </c>
      <c r="F857" t="s">
        <v>11296</v>
      </c>
      <c r="G857" t="s">
        <v>74</v>
      </c>
      <c r="H857" t="s">
        <v>74</v>
      </c>
      <c r="I857" t="s">
        <v>11297</v>
      </c>
      <c r="J857" t="s">
        <v>11298</v>
      </c>
      <c r="K857" t="s">
        <v>74</v>
      </c>
      <c r="L857" t="s">
        <v>74</v>
      </c>
      <c r="M857" t="s">
        <v>78</v>
      </c>
      <c r="N857" t="s">
        <v>2989</v>
      </c>
      <c r="O857" t="s">
        <v>74</v>
      </c>
      <c r="P857" t="s">
        <v>74</v>
      </c>
      <c r="Q857" t="s">
        <v>74</v>
      </c>
      <c r="R857" t="s">
        <v>74</v>
      </c>
      <c r="S857" t="s">
        <v>74</v>
      </c>
      <c r="T857" t="s">
        <v>11299</v>
      </c>
      <c r="U857" t="s">
        <v>11300</v>
      </c>
      <c r="V857" t="s">
        <v>11301</v>
      </c>
      <c r="W857" t="s">
        <v>11302</v>
      </c>
      <c r="X857" t="s">
        <v>5937</v>
      </c>
      <c r="Y857" t="s">
        <v>11303</v>
      </c>
      <c r="Z857" t="s">
        <v>11304</v>
      </c>
      <c r="AA857" t="s">
        <v>74</v>
      </c>
      <c r="AB857" t="s">
        <v>11305</v>
      </c>
      <c r="AC857" t="s">
        <v>74</v>
      </c>
      <c r="AD857" t="s">
        <v>74</v>
      </c>
      <c r="AE857" t="s">
        <v>74</v>
      </c>
      <c r="AF857" t="s">
        <v>74</v>
      </c>
      <c r="AG857">
        <v>15</v>
      </c>
      <c r="AH857">
        <v>4</v>
      </c>
      <c r="AI857">
        <v>4</v>
      </c>
      <c r="AJ857">
        <v>0</v>
      </c>
      <c r="AK857">
        <v>1</v>
      </c>
      <c r="AL857" t="s">
        <v>11306</v>
      </c>
      <c r="AM857" t="s">
        <v>2837</v>
      </c>
      <c r="AN857" t="s">
        <v>11307</v>
      </c>
      <c r="AO857" t="s">
        <v>11308</v>
      </c>
      <c r="AP857" t="s">
        <v>74</v>
      </c>
      <c r="AQ857" t="s">
        <v>74</v>
      </c>
      <c r="AR857" t="s">
        <v>11309</v>
      </c>
      <c r="AS857" t="s">
        <v>11310</v>
      </c>
      <c r="AT857" t="s">
        <v>10125</v>
      </c>
      <c r="AU857">
        <v>2008</v>
      </c>
      <c r="AV857">
        <v>19</v>
      </c>
      <c r="AW857">
        <v>1</v>
      </c>
      <c r="AX857" t="s">
        <v>74</v>
      </c>
      <c r="AY857" t="s">
        <v>74</v>
      </c>
      <c r="AZ857" t="s">
        <v>74</v>
      </c>
      <c r="BA857" t="s">
        <v>74</v>
      </c>
      <c r="BB857">
        <v>60</v>
      </c>
      <c r="BC857">
        <v>63</v>
      </c>
      <c r="BD857" t="s">
        <v>74</v>
      </c>
      <c r="BE857" t="s">
        <v>11311</v>
      </c>
      <c r="BF857" t="str">
        <f>HYPERLINK("http://dx.doi.org/10.1580/07-WEME-WI-100.1","http://dx.doi.org/10.1580/07-WEME-WI-100.1")</f>
        <v>http://dx.doi.org/10.1580/07-WEME-WI-100.1</v>
      </c>
      <c r="BG857" t="s">
        <v>74</v>
      </c>
      <c r="BH857" t="s">
        <v>74</v>
      </c>
      <c r="BI857">
        <v>4</v>
      </c>
      <c r="BJ857" t="s">
        <v>11312</v>
      </c>
      <c r="BK857" t="s">
        <v>419</v>
      </c>
      <c r="BL857" t="s">
        <v>11312</v>
      </c>
      <c r="BM857" t="s">
        <v>11313</v>
      </c>
      <c r="BN857">
        <v>18333668</v>
      </c>
      <c r="BO857" t="s">
        <v>3290</v>
      </c>
      <c r="BP857" t="s">
        <v>74</v>
      </c>
      <c r="BQ857" t="s">
        <v>74</v>
      </c>
      <c r="BR857" t="s">
        <v>101</v>
      </c>
      <c r="BS857" t="s">
        <v>11314</v>
      </c>
      <c r="BT857" t="str">
        <f>HYPERLINK("https%3A%2F%2Fwww.webofscience.com%2Fwos%2Fwoscc%2Ffull-record%2FWOS:000254367000013","View Full Record in Web of Science")</f>
        <v>View Full Record in Web of Science</v>
      </c>
    </row>
    <row r="858" spans="1:72" x14ac:dyDescent="0.15">
      <c r="A858" t="s">
        <v>72</v>
      </c>
      <c r="B858" t="s">
        <v>11315</v>
      </c>
      <c r="C858" t="s">
        <v>74</v>
      </c>
      <c r="D858" t="s">
        <v>74</v>
      </c>
      <c r="E858" t="s">
        <v>74</v>
      </c>
      <c r="F858" t="s">
        <v>11316</v>
      </c>
      <c r="G858" t="s">
        <v>74</v>
      </c>
      <c r="H858" t="s">
        <v>74</v>
      </c>
      <c r="I858" t="s">
        <v>11317</v>
      </c>
      <c r="J858" t="s">
        <v>3295</v>
      </c>
      <c r="K858" t="s">
        <v>74</v>
      </c>
      <c r="L858" t="s">
        <v>74</v>
      </c>
      <c r="M858" t="s">
        <v>78</v>
      </c>
      <c r="N858" t="s">
        <v>2737</v>
      </c>
      <c r="O858" t="s">
        <v>74</v>
      </c>
      <c r="P858" t="s">
        <v>74</v>
      </c>
      <c r="Q858" t="s">
        <v>74</v>
      </c>
      <c r="R858" t="s">
        <v>74</v>
      </c>
      <c r="S858" t="s">
        <v>74</v>
      </c>
      <c r="T858" t="s">
        <v>74</v>
      </c>
      <c r="U858" t="s">
        <v>11318</v>
      </c>
      <c r="V858" t="s">
        <v>11319</v>
      </c>
      <c r="W858" t="s">
        <v>11320</v>
      </c>
      <c r="X858" t="s">
        <v>11321</v>
      </c>
      <c r="Y858" t="s">
        <v>11322</v>
      </c>
      <c r="Z858" t="s">
        <v>11323</v>
      </c>
      <c r="AA858" t="s">
        <v>11324</v>
      </c>
      <c r="AB858" t="s">
        <v>11325</v>
      </c>
      <c r="AC858" t="s">
        <v>11326</v>
      </c>
      <c r="AD858" t="s">
        <v>3604</v>
      </c>
      <c r="AE858" t="s">
        <v>74</v>
      </c>
      <c r="AF858" t="s">
        <v>74</v>
      </c>
      <c r="AG858">
        <v>36</v>
      </c>
      <c r="AH858">
        <v>123</v>
      </c>
      <c r="AI858">
        <v>135</v>
      </c>
      <c r="AJ858">
        <v>0</v>
      </c>
      <c r="AK858">
        <v>27</v>
      </c>
      <c r="AL858" t="s">
        <v>3280</v>
      </c>
      <c r="AM858" t="s">
        <v>3281</v>
      </c>
      <c r="AN858" t="s">
        <v>3282</v>
      </c>
      <c r="AO858" t="s">
        <v>3304</v>
      </c>
      <c r="AP858" t="s">
        <v>3305</v>
      </c>
      <c r="AQ858" t="s">
        <v>74</v>
      </c>
      <c r="AR858" t="s">
        <v>3306</v>
      </c>
      <c r="AS858" t="s">
        <v>3307</v>
      </c>
      <c r="AT858" t="s">
        <v>11327</v>
      </c>
      <c r="AU858">
        <v>2008</v>
      </c>
      <c r="AV858">
        <v>35</v>
      </c>
      <c r="AW858">
        <v>4</v>
      </c>
      <c r="AX858" t="s">
        <v>74</v>
      </c>
      <c r="AY858" t="s">
        <v>74</v>
      </c>
      <c r="AZ858" t="s">
        <v>74</v>
      </c>
      <c r="BA858" t="s">
        <v>74</v>
      </c>
      <c r="BB858" t="s">
        <v>74</v>
      </c>
      <c r="BC858" t="s">
        <v>74</v>
      </c>
      <c r="BD858" t="s">
        <v>11328</v>
      </c>
      <c r="BE858" t="s">
        <v>11329</v>
      </c>
      <c r="BF858" t="str">
        <f>HYPERLINK("http://dx.doi.org/10.1029/2007GL032450","http://dx.doi.org/10.1029/2007GL032450")</f>
        <v>http://dx.doi.org/10.1029/2007GL032450</v>
      </c>
      <c r="BG858" t="s">
        <v>74</v>
      </c>
      <c r="BH858" t="s">
        <v>74</v>
      </c>
      <c r="BI858">
        <v>5</v>
      </c>
      <c r="BJ858" t="s">
        <v>3093</v>
      </c>
      <c r="BK858" t="s">
        <v>419</v>
      </c>
      <c r="BL858" t="s">
        <v>3094</v>
      </c>
      <c r="BM858" t="s">
        <v>11330</v>
      </c>
      <c r="BN858" t="s">
        <v>74</v>
      </c>
      <c r="BO858" t="s">
        <v>74</v>
      </c>
      <c r="BP858" t="s">
        <v>74</v>
      </c>
      <c r="BQ858" t="s">
        <v>74</v>
      </c>
      <c r="BR858" t="s">
        <v>101</v>
      </c>
      <c r="BS858" t="s">
        <v>11331</v>
      </c>
      <c r="BT858" t="str">
        <f>HYPERLINK("https%3A%2F%2Fwww.webofscience.com%2Fwos%2Fwoscc%2Ffull-record%2FWOS:000253715400004","View Full Record in Web of Science")</f>
        <v>View Full Record in Web of Science</v>
      </c>
    </row>
    <row r="859" spans="1:72" x14ac:dyDescent="0.15">
      <c r="A859" t="s">
        <v>72</v>
      </c>
      <c r="B859" t="s">
        <v>11332</v>
      </c>
      <c r="C859" t="s">
        <v>74</v>
      </c>
      <c r="D859" t="s">
        <v>74</v>
      </c>
      <c r="E859" t="s">
        <v>74</v>
      </c>
      <c r="F859" t="s">
        <v>11333</v>
      </c>
      <c r="G859" t="s">
        <v>74</v>
      </c>
      <c r="H859" t="s">
        <v>74</v>
      </c>
      <c r="I859" t="s">
        <v>11334</v>
      </c>
      <c r="J859" t="s">
        <v>3295</v>
      </c>
      <c r="K859" t="s">
        <v>74</v>
      </c>
      <c r="L859" t="s">
        <v>74</v>
      </c>
      <c r="M859" t="s">
        <v>78</v>
      </c>
      <c r="N859" t="s">
        <v>2737</v>
      </c>
      <c r="O859" t="s">
        <v>74</v>
      </c>
      <c r="P859" t="s">
        <v>74</v>
      </c>
      <c r="Q859" t="s">
        <v>74</v>
      </c>
      <c r="R859" t="s">
        <v>74</v>
      </c>
      <c r="S859" t="s">
        <v>74</v>
      </c>
      <c r="T859" t="s">
        <v>74</v>
      </c>
      <c r="U859" t="s">
        <v>11335</v>
      </c>
      <c r="V859" t="s">
        <v>11336</v>
      </c>
      <c r="W859" t="s">
        <v>11337</v>
      </c>
      <c r="X859" t="s">
        <v>11338</v>
      </c>
      <c r="Y859" t="s">
        <v>11339</v>
      </c>
      <c r="Z859" t="s">
        <v>11340</v>
      </c>
      <c r="AA859" t="s">
        <v>74</v>
      </c>
      <c r="AB859" t="s">
        <v>11341</v>
      </c>
      <c r="AC859" t="s">
        <v>74</v>
      </c>
      <c r="AD859" t="s">
        <v>74</v>
      </c>
      <c r="AE859" t="s">
        <v>74</v>
      </c>
      <c r="AF859" t="s">
        <v>74</v>
      </c>
      <c r="AG859">
        <v>39</v>
      </c>
      <c r="AH859">
        <v>36</v>
      </c>
      <c r="AI859">
        <v>43</v>
      </c>
      <c r="AJ859">
        <v>0</v>
      </c>
      <c r="AK859">
        <v>5</v>
      </c>
      <c r="AL859" t="s">
        <v>3280</v>
      </c>
      <c r="AM859" t="s">
        <v>3281</v>
      </c>
      <c r="AN859" t="s">
        <v>3282</v>
      </c>
      <c r="AO859" t="s">
        <v>3304</v>
      </c>
      <c r="AP859" t="s">
        <v>74</v>
      </c>
      <c r="AQ859" t="s">
        <v>74</v>
      </c>
      <c r="AR859" t="s">
        <v>3306</v>
      </c>
      <c r="AS859" t="s">
        <v>3307</v>
      </c>
      <c r="AT859" t="s">
        <v>11342</v>
      </c>
      <c r="AU859">
        <v>2008</v>
      </c>
      <c r="AV859">
        <v>35</v>
      </c>
      <c r="AW859">
        <v>4</v>
      </c>
      <c r="AX859" t="s">
        <v>74</v>
      </c>
      <c r="AY859" t="s">
        <v>74</v>
      </c>
      <c r="AZ859" t="s">
        <v>74</v>
      </c>
      <c r="BA859" t="s">
        <v>74</v>
      </c>
      <c r="BB859" t="s">
        <v>74</v>
      </c>
      <c r="BC859" t="s">
        <v>74</v>
      </c>
      <c r="BD859" t="s">
        <v>11343</v>
      </c>
      <c r="BE859" t="s">
        <v>11344</v>
      </c>
      <c r="BF859" t="str">
        <f>HYPERLINK("http://dx.doi.org/10.1029/2007GL032813","http://dx.doi.org/10.1029/2007GL032813")</f>
        <v>http://dx.doi.org/10.1029/2007GL032813</v>
      </c>
      <c r="BG859" t="s">
        <v>74</v>
      </c>
      <c r="BH859" t="s">
        <v>74</v>
      </c>
      <c r="BI859">
        <v>4</v>
      </c>
      <c r="BJ859" t="s">
        <v>3093</v>
      </c>
      <c r="BK859" t="s">
        <v>419</v>
      </c>
      <c r="BL859" t="s">
        <v>3094</v>
      </c>
      <c r="BM859" t="s">
        <v>11345</v>
      </c>
      <c r="BN859" t="s">
        <v>74</v>
      </c>
      <c r="BO859" t="s">
        <v>74</v>
      </c>
      <c r="BP859" t="s">
        <v>74</v>
      </c>
      <c r="BQ859" t="s">
        <v>74</v>
      </c>
      <c r="BR859" t="s">
        <v>101</v>
      </c>
      <c r="BS859" t="s">
        <v>11346</v>
      </c>
      <c r="BT859" t="str">
        <f>HYPERLINK("https%3A%2F%2Fwww.webofscience.com%2Fwos%2Fwoscc%2Ffull-record%2FWOS:000253715200004","View Full Record in Web of Science")</f>
        <v>View Full Record in Web of Science</v>
      </c>
    </row>
    <row r="860" spans="1:72" x14ac:dyDescent="0.15">
      <c r="A860" t="s">
        <v>72</v>
      </c>
      <c r="B860" t="s">
        <v>11347</v>
      </c>
      <c r="C860" t="s">
        <v>74</v>
      </c>
      <c r="D860" t="s">
        <v>74</v>
      </c>
      <c r="E860" t="s">
        <v>74</v>
      </c>
      <c r="F860" t="s">
        <v>11348</v>
      </c>
      <c r="G860" t="s">
        <v>74</v>
      </c>
      <c r="H860" t="s">
        <v>74</v>
      </c>
      <c r="I860" t="s">
        <v>11349</v>
      </c>
      <c r="J860" t="s">
        <v>3396</v>
      </c>
      <c r="K860" t="s">
        <v>74</v>
      </c>
      <c r="L860" t="s">
        <v>74</v>
      </c>
      <c r="M860" t="s">
        <v>78</v>
      </c>
      <c r="N860" t="s">
        <v>2737</v>
      </c>
      <c r="O860" t="s">
        <v>74</v>
      </c>
      <c r="P860" t="s">
        <v>74</v>
      </c>
      <c r="Q860" t="s">
        <v>74</v>
      </c>
      <c r="R860" t="s">
        <v>74</v>
      </c>
      <c r="S860" t="s">
        <v>74</v>
      </c>
      <c r="T860" t="s">
        <v>74</v>
      </c>
      <c r="U860" t="s">
        <v>11350</v>
      </c>
      <c r="V860" t="s">
        <v>11351</v>
      </c>
      <c r="W860" t="s">
        <v>11352</v>
      </c>
      <c r="X860" t="s">
        <v>11353</v>
      </c>
      <c r="Y860" t="s">
        <v>11354</v>
      </c>
      <c r="Z860" t="s">
        <v>11355</v>
      </c>
      <c r="AA860" t="s">
        <v>11356</v>
      </c>
      <c r="AB860" t="s">
        <v>74</v>
      </c>
      <c r="AC860" t="s">
        <v>74</v>
      </c>
      <c r="AD860" t="s">
        <v>74</v>
      </c>
      <c r="AE860" t="s">
        <v>74</v>
      </c>
      <c r="AF860" t="s">
        <v>74</v>
      </c>
      <c r="AG860">
        <v>22</v>
      </c>
      <c r="AH860">
        <v>49</v>
      </c>
      <c r="AI860">
        <v>52</v>
      </c>
      <c r="AJ860">
        <v>0</v>
      </c>
      <c r="AK860">
        <v>10</v>
      </c>
      <c r="AL860" t="s">
        <v>3280</v>
      </c>
      <c r="AM860" t="s">
        <v>3281</v>
      </c>
      <c r="AN860" t="s">
        <v>3282</v>
      </c>
      <c r="AO860" t="s">
        <v>3406</v>
      </c>
      <c r="AP860" t="s">
        <v>3407</v>
      </c>
      <c r="AQ860" t="s">
        <v>74</v>
      </c>
      <c r="AR860" t="s">
        <v>3408</v>
      </c>
      <c r="AS860" t="s">
        <v>3409</v>
      </c>
      <c r="AT860" t="s">
        <v>11342</v>
      </c>
      <c r="AU860">
        <v>2008</v>
      </c>
      <c r="AV860">
        <v>113</v>
      </c>
      <c r="AW860" t="s">
        <v>11357</v>
      </c>
      <c r="AX860" t="s">
        <v>74</v>
      </c>
      <c r="AY860" t="s">
        <v>74</v>
      </c>
      <c r="AZ860" t="s">
        <v>74</v>
      </c>
      <c r="BA860" t="s">
        <v>74</v>
      </c>
      <c r="BB860" t="s">
        <v>74</v>
      </c>
      <c r="BC860" t="s">
        <v>74</v>
      </c>
      <c r="BD860" t="s">
        <v>11358</v>
      </c>
      <c r="BE860" t="s">
        <v>11359</v>
      </c>
      <c r="BF860" t="str">
        <f>HYPERLINK("http://dx.doi.org/10.1029/2007JD008938","http://dx.doi.org/10.1029/2007JD008938")</f>
        <v>http://dx.doi.org/10.1029/2007JD008938</v>
      </c>
      <c r="BG860" t="s">
        <v>74</v>
      </c>
      <c r="BH860" t="s">
        <v>74</v>
      </c>
      <c r="BI860">
        <v>15</v>
      </c>
      <c r="BJ860" t="s">
        <v>3071</v>
      </c>
      <c r="BK860" t="s">
        <v>419</v>
      </c>
      <c r="BL860" t="s">
        <v>3071</v>
      </c>
      <c r="BM860" t="s">
        <v>11360</v>
      </c>
      <c r="BN860" t="s">
        <v>74</v>
      </c>
      <c r="BO860" t="s">
        <v>3290</v>
      </c>
      <c r="BP860" t="s">
        <v>74</v>
      </c>
      <c r="BQ860" t="s">
        <v>74</v>
      </c>
      <c r="BR860" t="s">
        <v>101</v>
      </c>
      <c r="BS860" t="s">
        <v>11361</v>
      </c>
      <c r="BT860" t="str">
        <f>HYPERLINK("https%3A%2F%2Fwww.webofscience.com%2Fwos%2Fwoscc%2Ffull-record%2FWOS:000253715800002","View Full Record in Web of Science")</f>
        <v>View Full Record in Web of Science</v>
      </c>
    </row>
    <row r="861" spans="1:72" x14ac:dyDescent="0.15">
      <c r="A861" t="s">
        <v>72</v>
      </c>
      <c r="B861" t="s">
        <v>11362</v>
      </c>
      <c r="C861" t="s">
        <v>74</v>
      </c>
      <c r="D861" t="s">
        <v>74</v>
      </c>
      <c r="E861" t="s">
        <v>74</v>
      </c>
      <c r="F861" t="s">
        <v>11363</v>
      </c>
      <c r="G861" t="s">
        <v>74</v>
      </c>
      <c r="H861" t="s">
        <v>74</v>
      </c>
      <c r="I861" t="s">
        <v>11364</v>
      </c>
      <c r="J861" t="s">
        <v>9430</v>
      </c>
      <c r="K861" t="s">
        <v>74</v>
      </c>
      <c r="L861" t="s">
        <v>74</v>
      </c>
      <c r="M861" t="s">
        <v>78</v>
      </c>
      <c r="N861" t="s">
        <v>2737</v>
      </c>
      <c r="O861" t="s">
        <v>74</v>
      </c>
      <c r="P861" t="s">
        <v>74</v>
      </c>
      <c r="Q861" t="s">
        <v>74</v>
      </c>
      <c r="R861" t="s">
        <v>74</v>
      </c>
      <c r="S861" t="s">
        <v>74</v>
      </c>
      <c r="T861" t="s">
        <v>74</v>
      </c>
      <c r="U861" t="s">
        <v>11365</v>
      </c>
      <c r="V861" t="s">
        <v>11366</v>
      </c>
      <c r="W861" t="s">
        <v>11367</v>
      </c>
      <c r="X861" t="s">
        <v>11368</v>
      </c>
      <c r="Y861" t="s">
        <v>11369</v>
      </c>
      <c r="Z861" t="s">
        <v>11370</v>
      </c>
      <c r="AA861" t="s">
        <v>74</v>
      </c>
      <c r="AB861" t="s">
        <v>74</v>
      </c>
      <c r="AC861" t="s">
        <v>11371</v>
      </c>
      <c r="AD861" t="s">
        <v>3031</v>
      </c>
      <c r="AE861" t="s">
        <v>74</v>
      </c>
      <c r="AF861" t="s">
        <v>74</v>
      </c>
      <c r="AG861">
        <v>14</v>
      </c>
      <c r="AH861">
        <v>107</v>
      </c>
      <c r="AI861">
        <v>117</v>
      </c>
      <c r="AJ861">
        <v>0</v>
      </c>
      <c r="AK861">
        <v>26</v>
      </c>
      <c r="AL861" t="s">
        <v>9437</v>
      </c>
      <c r="AM861" t="s">
        <v>4364</v>
      </c>
      <c r="AN861" t="s">
        <v>9438</v>
      </c>
      <c r="AO861" t="s">
        <v>9439</v>
      </c>
      <c r="AP861" t="s">
        <v>9440</v>
      </c>
      <c r="AQ861" t="s">
        <v>74</v>
      </c>
      <c r="AR861" t="s">
        <v>9441</v>
      </c>
      <c r="AS861" t="s">
        <v>9442</v>
      </c>
      <c r="AT861" t="s">
        <v>11372</v>
      </c>
      <c r="AU861">
        <v>2008</v>
      </c>
      <c r="AV861">
        <v>18</v>
      </c>
      <c r="AW861">
        <v>4</v>
      </c>
      <c r="AX861" t="s">
        <v>74</v>
      </c>
      <c r="AY861" t="s">
        <v>74</v>
      </c>
      <c r="AZ861" t="s">
        <v>74</v>
      </c>
      <c r="BA861" t="s">
        <v>74</v>
      </c>
      <c r="BB861">
        <v>282</v>
      </c>
      <c r="BC861">
        <v>285</v>
      </c>
      <c r="BD861" t="s">
        <v>74</v>
      </c>
      <c r="BE861" t="s">
        <v>11373</v>
      </c>
      <c r="BF861" t="str">
        <f>HYPERLINK("http://dx.doi.org/10.1016/j.cub.2008.01.059","http://dx.doi.org/10.1016/j.cub.2008.01.059")</f>
        <v>http://dx.doi.org/10.1016/j.cub.2008.01.059</v>
      </c>
      <c r="BG861" t="s">
        <v>74</v>
      </c>
      <c r="BH861" t="s">
        <v>74</v>
      </c>
      <c r="BI861">
        <v>4</v>
      </c>
      <c r="BJ861" t="s">
        <v>8505</v>
      </c>
      <c r="BK861" t="s">
        <v>419</v>
      </c>
      <c r="BL861" t="s">
        <v>8506</v>
      </c>
      <c r="BM861" t="s">
        <v>11374</v>
      </c>
      <c r="BN861">
        <v>18302926</v>
      </c>
      <c r="BO861" t="s">
        <v>4667</v>
      </c>
      <c r="BP861" t="s">
        <v>74</v>
      </c>
      <c r="BQ861" t="s">
        <v>74</v>
      </c>
      <c r="BR861" t="s">
        <v>101</v>
      </c>
      <c r="BS861" t="s">
        <v>11375</v>
      </c>
      <c r="BT861" t="str">
        <f>HYPERLINK("https%3A%2F%2Fwww.webofscience.com%2Fwos%2Fwoscc%2Ffull-record%2FWOS:000253470300028","View Full Record in Web of Science")</f>
        <v>View Full Record in Web of Science</v>
      </c>
    </row>
    <row r="862" spans="1:72" x14ac:dyDescent="0.15">
      <c r="A862" t="s">
        <v>72</v>
      </c>
      <c r="B862" t="s">
        <v>11376</v>
      </c>
      <c r="C862" t="s">
        <v>74</v>
      </c>
      <c r="D862" t="s">
        <v>74</v>
      </c>
      <c r="E862" t="s">
        <v>74</v>
      </c>
      <c r="F862" t="s">
        <v>11377</v>
      </c>
      <c r="G862" t="s">
        <v>74</v>
      </c>
      <c r="H862" t="s">
        <v>74</v>
      </c>
      <c r="I862" t="s">
        <v>11378</v>
      </c>
      <c r="J862" t="s">
        <v>11379</v>
      </c>
      <c r="K862" t="s">
        <v>74</v>
      </c>
      <c r="L862" t="s">
        <v>74</v>
      </c>
      <c r="M862" t="s">
        <v>78</v>
      </c>
      <c r="N862" t="s">
        <v>2737</v>
      </c>
      <c r="O862" t="s">
        <v>74</v>
      </c>
      <c r="P862" t="s">
        <v>74</v>
      </c>
      <c r="Q862" t="s">
        <v>74</v>
      </c>
      <c r="R862" t="s">
        <v>74</v>
      </c>
      <c r="S862" t="s">
        <v>74</v>
      </c>
      <c r="T862" t="s">
        <v>74</v>
      </c>
      <c r="U862" t="s">
        <v>11380</v>
      </c>
      <c r="V862" t="s">
        <v>11381</v>
      </c>
      <c r="W862" t="s">
        <v>11382</v>
      </c>
      <c r="X862" t="s">
        <v>11383</v>
      </c>
      <c r="Y862" t="s">
        <v>11384</v>
      </c>
      <c r="Z862" t="s">
        <v>11385</v>
      </c>
      <c r="AA862" t="s">
        <v>74</v>
      </c>
      <c r="AB862" t="s">
        <v>74</v>
      </c>
      <c r="AC862" t="s">
        <v>74</v>
      </c>
      <c r="AD862" t="s">
        <v>74</v>
      </c>
      <c r="AE862" t="s">
        <v>74</v>
      </c>
      <c r="AF862" t="s">
        <v>74</v>
      </c>
      <c r="AG862">
        <v>19</v>
      </c>
      <c r="AH862">
        <v>73</v>
      </c>
      <c r="AI862">
        <v>81</v>
      </c>
      <c r="AJ862">
        <v>0</v>
      </c>
      <c r="AK862">
        <v>34</v>
      </c>
      <c r="AL862" t="s">
        <v>9480</v>
      </c>
      <c r="AM862" t="s">
        <v>3550</v>
      </c>
      <c r="AN862" t="s">
        <v>9481</v>
      </c>
      <c r="AO862" t="s">
        <v>11386</v>
      </c>
      <c r="AP862" t="s">
        <v>74</v>
      </c>
      <c r="AQ862" t="s">
        <v>74</v>
      </c>
      <c r="AR862" t="s">
        <v>11387</v>
      </c>
      <c r="AS862" t="s">
        <v>11388</v>
      </c>
      <c r="AT862" t="s">
        <v>11389</v>
      </c>
      <c r="AU862">
        <v>2008</v>
      </c>
      <c r="AV862">
        <v>4</v>
      </c>
      <c r="AW862">
        <v>1</v>
      </c>
      <c r="AX862" t="s">
        <v>74</v>
      </c>
      <c r="AY862" t="s">
        <v>74</v>
      </c>
      <c r="AZ862" t="s">
        <v>74</v>
      </c>
      <c r="BA862" t="s">
        <v>74</v>
      </c>
      <c r="BB862">
        <v>139</v>
      </c>
      <c r="BC862">
        <v>142</v>
      </c>
      <c r="BD862" t="s">
        <v>74</v>
      </c>
      <c r="BE862" t="s">
        <v>11390</v>
      </c>
      <c r="BF862" t="str">
        <f>HYPERLINK("http://dx.doi.org/10.1098/rsbl.2007.0487","http://dx.doi.org/10.1098/rsbl.2007.0487")</f>
        <v>http://dx.doi.org/10.1098/rsbl.2007.0487</v>
      </c>
      <c r="BG862" t="s">
        <v>74</v>
      </c>
      <c r="BH862" t="s">
        <v>74</v>
      </c>
      <c r="BI862">
        <v>4</v>
      </c>
      <c r="BJ862" t="s">
        <v>9487</v>
      </c>
      <c r="BK862" t="s">
        <v>419</v>
      </c>
      <c r="BL862" t="s">
        <v>9488</v>
      </c>
      <c r="BM862" t="s">
        <v>11391</v>
      </c>
      <c r="BN862">
        <v>18042512</v>
      </c>
      <c r="BO862" t="s">
        <v>3311</v>
      </c>
      <c r="BP862" t="s">
        <v>74</v>
      </c>
      <c r="BQ862" t="s">
        <v>74</v>
      </c>
      <c r="BR862" t="s">
        <v>101</v>
      </c>
      <c r="BS862" t="s">
        <v>11392</v>
      </c>
      <c r="BT862" t="str">
        <f>HYPERLINK("https%3A%2F%2Fwww.webofscience.com%2Fwos%2Fwoscc%2Ffull-record%2FWOS:000252212900044","View Full Record in Web of Science")</f>
        <v>View Full Record in Web of Science</v>
      </c>
    </row>
    <row r="863" spans="1:72" x14ac:dyDescent="0.15">
      <c r="A863" t="s">
        <v>72</v>
      </c>
      <c r="B863" t="s">
        <v>11393</v>
      </c>
      <c r="C863" t="s">
        <v>74</v>
      </c>
      <c r="D863" t="s">
        <v>74</v>
      </c>
      <c r="E863" t="s">
        <v>74</v>
      </c>
      <c r="F863" t="s">
        <v>11394</v>
      </c>
      <c r="G863" t="s">
        <v>74</v>
      </c>
      <c r="H863" t="s">
        <v>74</v>
      </c>
      <c r="I863" t="s">
        <v>11395</v>
      </c>
      <c r="J863" t="s">
        <v>3396</v>
      </c>
      <c r="K863" t="s">
        <v>74</v>
      </c>
      <c r="L863" t="s">
        <v>74</v>
      </c>
      <c r="M863" t="s">
        <v>78</v>
      </c>
      <c r="N863" t="s">
        <v>2737</v>
      </c>
      <c r="O863" t="s">
        <v>74</v>
      </c>
      <c r="P863" t="s">
        <v>74</v>
      </c>
      <c r="Q863" t="s">
        <v>74</v>
      </c>
      <c r="R863" t="s">
        <v>74</v>
      </c>
      <c r="S863" t="s">
        <v>74</v>
      </c>
      <c r="T863" t="s">
        <v>74</v>
      </c>
      <c r="U863" t="s">
        <v>11396</v>
      </c>
      <c r="V863" t="s">
        <v>11397</v>
      </c>
      <c r="W863" t="s">
        <v>11398</v>
      </c>
      <c r="X863" t="s">
        <v>11399</v>
      </c>
      <c r="Y863" t="s">
        <v>11400</v>
      </c>
      <c r="Z863" t="s">
        <v>7832</v>
      </c>
      <c r="AA863" t="s">
        <v>11401</v>
      </c>
      <c r="AB863" t="s">
        <v>11402</v>
      </c>
      <c r="AC863" t="s">
        <v>74</v>
      </c>
      <c r="AD863" t="s">
        <v>74</v>
      </c>
      <c r="AE863" t="s">
        <v>74</v>
      </c>
      <c r="AF863" t="s">
        <v>74</v>
      </c>
      <c r="AG863">
        <v>52</v>
      </c>
      <c r="AH863">
        <v>99</v>
      </c>
      <c r="AI863">
        <v>113</v>
      </c>
      <c r="AJ863">
        <v>0</v>
      </c>
      <c r="AK863">
        <v>28</v>
      </c>
      <c r="AL863" t="s">
        <v>3280</v>
      </c>
      <c r="AM863" t="s">
        <v>3281</v>
      </c>
      <c r="AN863" t="s">
        <v>3282</v>
      </c>
      <c r="AO863" t="s">
        <v>3406</v>
      </c>
      <c r="AP863" t="s">
        <v>3407</v>
      </c>
      <c r="AQ863" t="s">
        <v>74</v>
      </c>
      <c r="AR863" t="s">
        <v>3408</v>
      </c>
      <c r="AS863" t="s">
        <v>3409</v>
      </c>
      <c r="AT863" t="s">
        <v>11403</v>
      </c>
      <c r="AU863">
        <v>2008</v>
      </c>
      <c r="AV863">
        <v>113</v>
      </c>
      <c r="AW863" t="s">
        <v>11357</v>
      </c>
      <c r="AX863" t="s">
        <v>74</v>
      </c>
      <c r="AY863" t="s">
        <v>74</v>
      </c>
      <c r="AZ863" t="s">
        <v>74</v>
      </c>
      <c r="BA863" t="s">
        <v>74</v>
      </c>
      <c r="BB863" t="s">
        <v>74</v>
      </c>
      <c r="BC863" t="s">
        <v>74</v>
      </c>
      <c r="BD863" t="s">
        <v>11404</v>
      </c>
      <c r="BE863" t="s">
        <v>11405</v>
      </c>
      <c r="BF863" t="str">
        <f>HYPERLINK("http://dx.doi.org/10.1029/2007JD009094","http://dx.doi.org/10.1029/2007JD009094")</f>
        <v>http://dx.doi.org/10.1029/2007JD009094</v>
      </c>
      <c r="BG863" t="s">
        <v>74</v>
      </c>
      <c r="BH863" t="s">
        <v>74</v>
      </c>
      <c r="BI863">
        <v>21</v>
      </c>
      <c r="BJ863" t="s">
        <v>3071</v>
      </c>
      <c r="BK863" t="s">
        <v>419</v>
      </c>
      <c r="BL863" t="s">
        <v>3071</v>
      </c>
      <c r="BM863" t="s">
        <v>11406</v>
      </c>
      <c r="BN863" t="s">
        <v>74</v>
      </c>
      <c r="BO863" t="s">
        <v>3110</v>
      </c>
      <c r="BP863" t="s">
        <v>74</v>
      </c>
      <c r="BQ863" t="s">
        <v>74</v>
      </c>
      <c r="BR863" t="s">
        <v>101</v>
      </c>
      <c r="BS863" t="s">
        <v>11407</v>
      </c>
      <c r="BT863" t="str">
        <f>HYPERLINK("https%3A%2F%2Fwww.webofscience.com%2Fwos%2Fwoscc%2Ffull-record%2FWOS:000253531700006","View Full Record in Web of Science")</f>
        <v>View Full Record in Web of Science</v>
      </c>
    </row>
    <row r="864" spans="1:72" x14ac:dyDescent="0.15">
      <c r="A864" t="s">
        <v>72</v>
      </c>
      <c r="B864" t="s">
        <v>11408</v>
      </c>
      <c r="C864" t="s">
        <v>74</v>
      </c>
      <c r="D864" t="s">
        <v>74</v>
      </c>
      <c r="E864" t="s">
        <v>74</v>
      </c>
      <c r="F864" t="s">
        <v>11409</v>
      </c>
      <c r="G864" t="s">
        <v>74</v>
      </c>
      <c r="H864" t="s">
        <v>74</v>
      </c>
      <c r="I864" t="s">
        <v>11410</v>
      </c>
      <c r="J864" t="s">
        <v>3432</v>
      </c>
      <c r="K864" t="s">
        <v>74</v>
      </c>
      <c r="L864" t="s">
        <v>74</v>
      </c>
      <c r="M864" t="s">
        <v>78</v>
      </c>
      <c r="N864" t="s">
        <v>2737</v>
      </c>
      <c r="O864" t="s">
        <v>74</v>
      </c>
      <c r="P864" t="s">
        <v>74</v>
      </c>
      <c r="Q864" t="s">
        <v>74</v>
      </c>
      <c r="R864" t="s">
        <v>74</v>
      </c>
      <c r="S864" t="s">
        <v>74</v>
      </c>
      <c r="T864" t="s">
        <v>74</v>
      </c>
      <c r="U864" t="s">
        <v>11411</v>
      </c>
      <c r="V864" t="s">
        <v>11412</v>
      </c>
      <c r="W864" t="s">
        <v>11413</v>
      </c>
      <c r="X864" t="s">
        <v>11414</v>
      </c>
      <c r="Y864" t="s">
        <v>11415</v>
      </c>
      <c r="Z864" t="s">
        <v>74</v>
      </c>
      <c r="AA864" t="s">
        <v>11416</v>
      </c>
      <c r="AB864" t="s">
        <v>11417</v>
      </c>
      <c r="AC864" t="s">
        <v>74</v>
      </c>
      <c r="AD864" t="s">
        <v>74</v>
      </c>
      <c r="AE864" t="s">
        <v>74</v>
      </c>
      <c r="AF864" t="s">
        <v>74</v>
      </c>
      <c r="AG864">
        <v>59</v>
      </c>
      <c r="AH864">
        <v>10</v>
      </c>
      <c r="AI864">
        <v>12</v>
      </c>
      <c r="AJ864">
        <v>0</v>
      </c>
      <c r="AK864">
        <v>6</v>
      </c>
      <c r="AL864" t="s">
        <v>3280</v>
      </c>
      <c r="AM864" t="s">
        <v>3281</v>
      </c>
      <c r="AN864" t="s">
        <v>3282</v>
      </c>
      <c r="AO864" t="s">
        <v>3439</v>
      </c>
      <c r="AP864" t="s">
        <v>3440</v>
      </c>
      <c r="AQ864" t="s">
        <v>74</v>
      </c>
      <c r="AR864" t="s">
        <v>3441</v>
      </c>
      <c r="AS864" t="s">
        <v>3442</v>
      </c>
      <c r="AT864" t="s">
        <v>11403</v>
      </c>
      <c r="AU864">
        <v>2008</v>
      </c>
      <c r="AV864">
        <v>113</v>
      </c>
      <c r="AW864" t="s">
        <v>11418</v>
      </c>
      <c r="AX864" t="s">
        <v>74</v>
      </c>
      <c r="AY864" t="s">
        <v>74</v>
      </c>
      <c r="AZ864" t="s">
        <v>74</v>
      </c>
      <c r="BA864" t="s">
        <v>74</v>
      </c>
      <c r="BB864" t="s">
        <v>74</v>
      </c>
      <c r="BC864" t="s">
        <v>74</v>
      </c>
      <c r="BD864" t="s">
        <v>11419</v>
      </c>
      <c r="BE864" t="s">
        <v>11420</v>
      </c>
      <c r="BF864" t="str">
        <f>HYPERLINK("http://dx.doi.org/10.1029/2007JC004113","http://dx.doi.org/10.1029/2007JC004113")</f>
        <v>http://dx.doi.org/10.1029/2007JC004113</v>
      </c>
      <c r="BG864" t="s">
        <v>74</v>
      </c>
      <c r="BH864" t="s">
        <v>74</v>
      </c>
      <c r="BI864">
        <v>8</v>
      </c>
      <c r="BJ864" t="s">
        <v>3447</v>
      </c>
      <c r="BK864" t="s">
        <v>419</v>
      </c>
      <c r="BL864" t="s">
        <v>3447</v>
      </c>
      <c r="BM864" t="s">
        <v>11421</v>
      </c>
      <c r="BN864" t="s">
        <v>74</v>
      </c>
      <c r="BO864" t="s">
        <v>3290</v>
      </c>
      <c r="BP864" t="s">
        <v>74</v>
      </c>
      <c r="BQ864" t="s">
        <v>74</v>
      </c>
      <c r="BR864" t="s">
        <v>101</v>
      </c>
      <c r="BS864" t="s">
        <v>11422</v>
      </c>
      <c r="BT864" t="str">
        <f>HYPERLINK("https%3A%2F%2Fwww.webofscience.com%2Fwos%2Fwoscc%2Ffull-record%2FWOS:000253532500001","View Full Record in Web of Science")</f>
        <v>View Full Record in Web of Science</v>
      </c>
    </row>
    <row r="865" spans="1:72" x14ac:dyDescent="0.15">
      <c r="A865" t="s">
        <v>72</v>
      </c>
      <c r="B865" t="s">
        <v>11423</v>
      </c>
      <c r="C865" t="s">
        <v>74</v>
      </c>
      <c r="D865" t="s">
        <v>74</v>
      </c>
      <c r="E865" t="s">
        <v>74</v>
      </c>
      <c r="F865" t="s">
        <v>11424</v>
      </c>
      <c r="G865" t="s">
        <v>74</v>
      </c>
      <c r="H865" t="s">
        <v>74</v>
      </c>
      <c r="I865" t="s">
        <v>11425</v>
      </c>
      <c r="J865" t="s">
        <v>3432</v>
      </c>
      <c r="K865" t="s">
        <v>74</v>
      </c>
      <c r="L865" t="s">
        <v>74</v>
      </c>
      <c r="M865" t="s">
        <v>78</v>
      </c>
      <c r="N865" t="s">
        <v>2737</v>
      </c>
      <c r="O865" t="s">
        <v>74</v>
      </c>
      <c r="P865" t="s">
        <v>74</v>
      </c>
      <c r="Q865" t="s">
        <v>74</v>
      </c>
      <c r="R865" t="s">
        <v>74</v>
      </c>
      <c r="S865" t="s">
        <v>74</v>
      </c>
      <c r="T865" t="s">
        <v>74</v>
      </c>
      <c r="U865" t="s">
        <v>11426</v>
      </c>
      <c r="V865" t="s">
        <v>11427</v>
      </c>
      <c r="W865" t="s">
        <v>11428</v>
      </c>
      <c r="X865" t="s">
        <v>11429</v>
      </c>
      <c r="Y865" t="s">
        <v>11430</v>
      </c>
      <c r="Z865" t="s">
        <v>74</v>
      </c>
      <c r="AA865" t="s">
        <v>74</v>
      </c>
      <c r="AB865" t="s">
        <v>74</v>
      </c>
      <c r="AC865" t="s">
        <v>74</v>
      </c>
      <c r="AD865" t="s">
        <v>74</v>
      </c>
      <c r="AE865" t="s">
        <v>74</v>
      </c>
      <c r="AF865" t="s">
        <v>74</v>
      </c>
      <c r="AG865">
        <v>30</v>
      </c>
      <c r="AH865">
        <v>348</v>
      </c>
      <c r="AI865">
        <v>398</v>
      </c>
      <c r="AJ865">
        <v>0</v>
      </c>
      <c r="AK865">
        <v>93</v>
      </c>
      <c r="AL865" t="s">
        <v>3280</v>
      </c>
      <c r="AM865" t="s">
        <v>3281</v>
      </c>
      <c r="AN865" t="s">
        <v>3282</v>
      </c>
      <c r="AO865" t="s">
        <v>3439</v>
      </c>
      <c r="AP865" t="s">
        <v>3440</v>
      </c>
      <c r="AQ865" t="s">
        <v>74</v>
      </c>
      <c r="AR865" t="s">
        <v>3441</v>
      </c>
      <c r="AS865" t="s">
        <v>3442</v>
      </c>
      <c r="AT865" t="s">
        <v>11403</v>
      </c>
      <c r="AU865">
        <v>2008</v>
      </c>
      <c r="AV865">
        <v>113</v>
      </c>
      <c r="AW865" t="s">
        <v>11418</v>
      </c>
      <c r="AX865" t="s">
        <v>74</v>
      </c>
      <c r="AY865" t="s">
        <v>74</v>
      </c>
      <c r="AZ865" t="s">
        <v>74</v>
      </c>
      <c r="BA865" t="s">
        <v>74</v>
      </c>
      <c r="BB865" t="s">
        <v>74</v>
      </c>
      <c r="BC865" t="s">
        <v>74</v>
      </c>
      <c r="BD865" t="s">
        <v>11431</v>
      </c>
      <c r="BE865" t="s">
        <v>11432</v>
      </c>
      <c r="BF865" t="str">
        <f>HYPERLINK("http://dx.doi.org/10.1029/2007JC004257","http://dx.doi.org/10.1029/2007JC004257")</f>
        <v>http://dx.doi.org/10.1029/2007JC004257</v>
      </c>
      <c r="BG865" t="s">
        <v>74</v>
      </c>
      <c r="BH865" t="s">
        <v>74</v>
      </c>
      <c r="BI865">
        <v>22</v>
      </c>
      <c r="BJ865" t="s">
        <v>3447</v>
      </c>
      <c r="BK865" t="s">
        <v>419</v>
      </c>
      <c r="BL865" t="s">
        <v>3447</v>
      </c>
      <c r="BM865" t="s">
        <v>11421</v>
      </c>
      <c r="BN865" t="s">
        <v>74</v>
      </c>
      <c r="BO865" t="s">
        <v>3110</v>
      </c>
      <c r="BP865" t="s">
        <v>74</v>
      </c>
      <c r="BQ865" t="s">
        <v>74</v>
      </c>
      <c r="BR865" t="s">
        <v>101</v>
      </c>
      <c r="BS865" t="s">
        <v>11433</v>
      </c>
      <c r="BT865" t="str">
        <f>HYPERLINK("https%3A%2F%2Fwww.webofscience.com%2Fwos%2Fwoscc%2Ffull-record%2FWOS:000253532500002","View Full Record in Web of Science")</f>
        <v>View Full Record in Web of Science</v>
      </c>
    </row>
    <row r="866" spans="1:72" x14ac:dyDescent="0.15">
      <c r="A866" t="s">
        <v>72</v>
      </c>
      <c r="B866" t="s">
        <v>11434</v>
      </c>
      <c r="C866" t="s">
        <v>74</v>
      </c>
      <c r="D866" t="s">
        <v>74</v>
      </c>
      <c r="E866" t="s">
        <v>74</v>
      </c>
      <c r="F866" t="s">
        <v>11435</v>
      </c>
      <c r="G866" t="s">
        <v>74</v>
      </c>
      <c r="H866" t="s">
        <v>74</v>
      </c>
      <c r="I866" t="s">
        <v>11436</v>
      </c>
      <c r="J866" t="s">
        <v>3540</v>
      </c>
      <c r="K866" t="s">
        <v>74</v>
      </c>
      <c r="L866" t="s">
        <v>74</v>
      </c>
      <c r="M866" t="s">
        <v>78</v>
      </c>
      <c r="N866" t="s">
        <v>2737</v>
      </c>
      <c r="O866" t="s">
        <v>74</v>
      </c>
      <c r="P866" t="s">
        <v>74</v>
      </c>
      <c r="Q866" t="s">
        <v>74</v>
      </c>
      <c r="R866" t="s">
        <v>74</v>
      </c>
      <c r="S866" t="s">
        <v>74</v>
      </c>
      <c r="T866" t="s">
        <v>74</v>
      </c>
      <c r="U866" t="s">
        <v>11437</v>
      </c>
      <c r="V866" t="s">
        <v>11438</v>
      </c>
      <c r="W866" t="s">
        <v>11439</v>
      </c>
      <c r="X866" t="s">
        <v>11440</v>
      </c>
      <c r="Y866" t="s">
        <v>11441</v>
      </c>
      <c r="Z866" t="s">
        <v>11442</v>
      </c>
      <c r="AA866" t="s">
        <v>11443</v>
      </c>
      <c r="AB866" t="s">
        <v>11444</v>
      </c>
      <c r="AC866" t="s">
        <v>11445</v>
      </c>
      <c r="AD866" t="s">
        <v>2792</v>
      </c>
      <c r="AE866" t="s">
        <v>74</v>
      </c>
      <c r="AF866" t="s">
        <v>74</v>
      </c>
      <c r="AG866">
        <v>30</v>
      </c>
      <c r="AH866">
        <v>342</v>
      </c>
      <c r="AI866">
        <v>388</v>
      </c>
      <c r="AJ866">
        <v>5</v>
      </c>
      <c r="AK866">
        <v>87</v>
      </c>
      <c r="AL866" t="s">
        <v>3549</v>
      </c>
      <c r="AM866" t="s">
        <v>3550</v>
      </c>
      <c r="AN866" t="s">
        <v>3551</v>
      </c>
      <c r="AO866" t="s">
        <v>3552</v>
      </c>
      <c r="AP866" t="s">
        <v>3553</v>
      </c>
      <c r="AQ866" t="s">
        <v>74</v>
      </c>
      <c r="AR866" t="s">
        <v>3540</v>
      </c>
      <c r="AS866" t="s">
        <v>3554</v>
      </c>
      <c r="AT866" t="s">
        <v>11446</v>
      </c>
      <c r="AU866">
        <v>2008</v>
      </c>
      <c r="AV866">
        <v>451</v>
      </c>
      <c r="AW866">
        <v>7181</v>
      </c>
      <c r="AX866" t="s">
        <v>74</v>
      </c>
      <c r="AY866" t="s">
        <v>74</v>
      </c>
      <c r="AZ866" t="s">
        <v>74</v>
      </c>
      <c r="BA866" t="s">
        <v>74</v>
      </c>
      <c r="BB866">
        <v>959</v>
      </c>
      <c r="BC866">
        <v>963</v>
      </c>
      <c r="BD866" t="s">
        <v>74</v>
      </c>
      <c r="BE866" t="s">
        <v>11447</v>
      </c>
      <c r="BF866" t="str">
        <f>HYPERLINK("http://dx.doi.org/10.1038/nature06635","http://dx.doi.org/10.1038/nature06635")</f>
        <v>http://dx.doi.org/10.1038/nature06635</v>
      </c>
      <c r="BG866" t="s">
        <v>74</v>
      </c>
      <c r="BH866" t="s">
        <v>74</v>
      </c>
      <c r="BI866">
        <v>5</v>
      </c>
      <c r="BJ866" t="s">
        <v>3123</v>
      </c>
      <c r="BK866" t="s">
        <v>419</v>
      </c>
      <c r="BL866" t="s">
        <v>3124</v>
      </c>
      <c r="BM866" t="s">
        <v>11448</v>
      </c>
      <c r="BN866">
        <v>18288187</v>
      </c>
      <c r="BO866" t="s">
        <v>74</v>
      </c>
      <c r="BP866" t="s">
        <v>74</v>
      </c>
      <c r="BQ866" t="s">
        <v>74</v>
      </c>
      <c r="BR866" t="s">
        <v>101</v>
      </c>
      <c r="BS866" t="s">
        <v>11449</v>
      </c>
      <c r="BT866" t="str">
        <f>HYPERLINK("https%3A%2F%2Fwww.webofscience.com%2Fwos%2Fwoscc%2Ffull-record%2FWOS:000253313100041","View Full Record in Web of Science")</f>
        <v>View Full Record in Web of Science</v>
      </c>
    </row>
    <row r="867" spans="1:72" x14ac:dyDescent="0.15">
      <c r="A867" t="s">
        <v>72</v>
      </c>
      <c r="B867" t="s">
        <v>11450</v>
      </c>
      <c r="C867" t="s">
        <v>74</v>
      </c>
      <c r="D867" t="s">
        <v>74</v>
      </c>
      <c r="E867" t="s">
        <v>74</v>
      </c>
      <c r="F867" t="s">
        <v>11451</v>
      </c>
      <c r="G867" t="s">
        <v>74</v>
      </c>
      <c r="H867" t="s">
        <v>74</v>
      </c>
      <c r="I867" t="s">
        <v>11452</v>
      </c>
      <c r="J867" t="s">
        <v>3295</v>
      </c>
      <c r="K867" t="s">
        <v>74</v>
      </c>
      <c r="L867" t="s">
        <v>74</v>
      </c>
      <c r="M867" t="s">
        <v>78</v>
      </c>
      <c r="N867" t="s">
        <v>2737</v>
      </c>
      <c r="O867" t="s">
        <v>74</v>
      </c>
      <c r="P867" t="s">
        <v>74</v>
      </c>
      <c r="Q867" t="s">
        <v>74</v>
      </c>
      <c r="R867" t="s">
        <v>74</v>
      </c>
      <c r="S867" t="s">
        <v>74</v>
      </c>
      <c r="T867" t="s">
        <v>74</v>
      </c>
      <c r="U867" t="s">
        <v>11453</v>
      </c>
      <c r="V867" t="s">
        <v>11454</v>
      </c>
      <c r="W867" t="s">
        <v>11455</v>
      </c>
      <c r="X867" t="s">
        <v>11456</v>
      </c>
      <c r="Y867" t="s">
        <v>11457</v>
      </c>
      <c r="Z867" t="s">
        <v>11458</v>
      </c>
      <c r="AA867" t="s">
        <v>11459</v>
      </c>
      <c r="AB867" t="s">
        <v>11460</v>
      </c>
      <c r="AC867" t="s">
        <v>74</v>
      </c>
      <c r="AD867" t="s">
        <v>74</v>
      </c>
      <c r="AE867" t="s">
        <v>74</v>
      </c>
      <c r="AF867" t="s">
        <v>74</v>
      </c>
      <c r="AG867">
        <v>24</v>
      </c>
      <c r="AH867">
        <v>230</v>
      </c>
      <c r="AI867">
        <v>255</v>
      </c>
      <c r="AJ867">
        <v>12</v>
      </c>
      <c r="AK867">
        <v>98</v>
      </c>
      <c r="AL867" t="s">
        <v>3280</v>
      </c>
      <c r="AM867" t="s">
        <v>3281</v>
      </c>
      <c r="AN867" t="s">
        <v>3282</v>
      </c>
      <c r="AO867" t="s">
        <v>3304</v>
      </c>
      <c r="AP867" t="s">
        <v>74</v>
      </c>
      <c r="AQ867" t="s">
        <v>74</v>
      </c>
      <c r="AR867" t="s">
        <v>3306</v>
      </c>
      <c r="AS867" t="s">
        <v>3307</v>
      </c>
      <c r="AT867" t="s">
        <v>11461</v>
      </c>
      <c r="AU867">
        <v>2008</v>
      </c>
      <c r="AV867">
        <v>35</v>
      </c>
      <c r="AW867">
        <v>4</v>
      </c>
      <c r="AX867" t="s">
        <v>74</v>
      </c>
      <c r="AY867" t="s">
        <v>74</v>
      </c>
      <c r="AZ867" t="s">
        <v>74</v>
      </c>
      <c r="BA867" t="s">
        <v>74</v>
      </c>
      <c r="BB867" t="s">
        <v>74</v>
      </c>
      <c r="BC867" t="s">
        <v>74</v>
      </c>
      <c r="BD867" t="s">
        <v>11462</v>
      </c>
      <c r="BE867" t="s">
        <v>11463</v>
      </c>
      <c r="BF867" t="str">
        <f>HYPERLINK("http://dx.doi.org/10.1029/2007GL032583","http://dx.doi.org/10.1029/2007GL032583")</f>
        <v>http://dx.doi.org/10.1029/2007GL032583</v>
      </c>
      <c r="BG867" t="s">
        <v>74</v>
      </c>
      <c r="BH867" t="s">
        <v>74</v>
      </c>
      <c r="BI867">
        <v>5</v>
      </c>
      <c r="BJ867" t="s">
        <v>3093</v>
      </c>
      <c r="BK867" t="s">
        <v>419</v>
      </c>
      <c r="BL867" t="s">
        <v>3094</v>
      </c>
      <c r="BM867" t="s">
        <v>11464</v>
      </c>
      <c r="BN867" t="s">
        <v>74</v>
      </c>
      <c r="BO867" t="s">
        <v>3359</v>
      </c>
      <c r="BP867" t="s">
        <v>74</v>
      </c>
      <c r="BQ867" t="s">
        <v>74</v>
      </c>
      <c r="BR867" t="s">
        <v>101</v>
      </c>
      <c r="BS867" t="s">
        <v>11465</v>
      </c>
      <c r="BT867" t="str">
        <f>HYPERLINK("https%3A%2F%2Fwww.webofscience.com%2Fwos%2Fwoscc%2Ffull-record%2FWOS:000253531000005","View Full Record in Web of Science")</f>
        <v>View Full Record in Web of Science</v>
      </c>
    </row>
    <row r="868" spans="1:72" x14ac:dyDescent="0.15">
      <c r="A868" t="s">
        <v>72</v>
      </c>
      <c r="B868" t="s">
        <v>11466</v>
      </c>
      <c r="C868" t="s">
        <v>74</v>
      </c>
      <c r="D868" t="s">
        <v>74</v>
      </c>
      <c r="E868" t="s">
        <v>74</v>
      </c>
      <c r="F868" t="s">
        <v>11467</v>
      </c>
      <c r="G868" t="s">
        <v>74</v>
      </c>
      <c r="H868" t="s">
        <v>74</v>
      </c>
      <c r="I868" t="s">
        <v>11468</v>
      </c>
      <c r="J868" t="s">
        <v>6741</v>
      </c>
      <c r="K868" t="s">
        <v>74</v>
      </c>
      <c r="L868" t="s">
        <v>74</v>
      </c>
      <c r="M868" t="s">
        <v>78</v>
      </c>
      <c r="N868" t="s">
        <v>2737</v>
      </c>
      <c r="O868" t="s">
        <v>74</v>
      </c>
      <c r="P868" t="s">
        <v>74</v>
      </c>
      <c r="Q868" t="s">
        <v>74</v>
      </c>
      <c r="R868" t="s">
        <v>74</v>
      </c>
      <c r="S868" t="s">
        <v>74</v>
      </c>
      <c r="T868" t="s">
        <v>11469</v>
      </c>
      <c r="U868" t="s">
        <v>11470</v>
      </c>
      <c r="V868" t="s">
        <v>11471</v>
      </c>
      <c r="W868" t="s">
        <v>11472</v>
      </c>
      <c r="X868" t="s">
        <v>11473</v>
      </c>
      <c r="Y868" t="s">
        <v>11474</v>
      </c>
      <c r="Z868" t="s">
        <v>11475</v>
      </c>
      <c r="AA868" t="s">
        <v>11476</v>
      </c>
      <c r="AB868" t="s">
        <v>11477</v>
      </c>
      <c r="AC868" t="s">
        <v>74</v>
      </c>
      <c r="AD868" t="s">
        <v>74</v>
      </c>
      <c r="AE868" t="s">
        <v>74</v>
      </c>
      <c r="AF868" t="s">
        <v>74</v>
      </c>
      <c r="AG868">
        <v>79</v>
      </c>
      <c r="AH868">
        <v>21</v>
      </c>
      <c r="AI868">
        <v>22</v>
      </c>
      <c r="AJ868">
        <v>0</v>
      </c>
      <c r="AK868">
        <v>18</v>
      </c>
      <c r="AL868" t="s">
        <v>3933</v>
      </c>
      <c r="AM868" t="s">
        <v>3258</v>
      </c>
      <c r="AN868" t="s">
        <v>3934</v>
      </c>
      <c r="AO868" t="s">
        <v>6751</v>
      </c>
      <c r="AP868" t="s">
        <v>6752</v>
      </c>
      <c r="AQ868" t="s">
        <v>74</v>
      </c>
      <c r="AR868" t="s">
        <v>6753</v>
      </c>
      <c r="AS868" t="s">
        <v>6754</v>
      </c>
      <c r="AT868" t="s">
        <v>11461</v>
      </c>
      <c r="AU868">
        <v>2008</v>
      </c>
      <c r="AV868">
        <v>66</v>
      </c>
      <c r="AW868" t="s">
        <v>3263</v>
      </c>
      <c r="AX868" t="s">
        <v>74</v>
      </c>
      <c r="AY868" t="s">
        <v>74</v>
      </c>
      <c r="AZ868" t="s">
        <v>74</v>
      </c>
      <c r="BA868" t="s">
        <v>74</v>
      </c>
      <c r="BB868">
        <v>208</v>
      </c>
      <c r="BC868">
        <v>221</v>
      </c>
      <c r="BD868" t="s">
        <v>74</v>
      </c>
      <c r="BE868" t="s">
        <v>11478</v>
      </c>
      <c r="BF868" t="str">
        <f>HYPERLINK("http://dx.doi.org/10.1016/j.marmicro.2007.10.002","http://dx.doi.org/10.1016/j.marmicro.2007.10.002")</f>
        <v>http://dx.doi.org/10.1016/j.marmicro.2007.10.002</v>
      </c>
      <c r="BG868" t="s">
        <v>74</v>
      </c>
      <c r="BH868" t="s">
        <v>74</v>
      </c>
      <c r="BI868">
        <v>14</v>
      </c>
      <c r="BJ868" t="s">
        <v>3226</v>
      </c>
      <c r="BK868" t="s">
        <v>419</v>
      </c>
      <c r="BL868" t="s">
        <v>3226</v>
      </c>
      <c r="BM868" t="s">
        <v>11479</v>
      </c>
      <c r="BN868" t="s">
        <v>74</v>
      </c>
      <c r="BO868" t="s">
        <v>74</v>
      </c>
      <c r="BP868" t="s">
        <v>74</v>
      </c>
      <c r="BQ868" t="s">
        <v>74</v>
      </c>
      <c r="BR868" t="s">
        <v>101</v>
      </c>
      <c r="BS868" t="s">
        <v>11480</v>
      </c>
      <c r="BT868" t="str">
        <f>HYPERLINK("https%3A%2F%2Fwww.webofscience.com%2Fwos%2Fwoscc%2Ffull-record%2FWOS:000254134000004","View Full Record in Web of Science")</f>
        <v>View Full Record in Web of Science</v>
      </c>
    </row>
    <row r="869" spans="1:72" x14ac:dyDescent="0.15">
      <c r="A869" t="s">
        <v>72</v>
      </c>
      <c r="B869" t="s">
        <v>11481</v>
      </c>
      <c r="C869" t="s">
        <v>74</v>
      </c>
      <c r="D869" t="s">
        <v>74</v>
      </c>
      <c r="E869" t="s">
        <v>74</v>
      </c>
      <c r="F869" t="s">
        <v>11482</v>
      </c>
      <c r="G869" t="s">
        <v>74</v>
      </c>
      <c r="H869" t="s">
        <v>74</v>
      </c>
      <c r="I869" t="s">
        <v>11483</v>
      </c>
      <c r="J869" t="s">
        <v>6741</v>
      </c>
      <c r="K869" t="s">
        <v>74</v>
      </c>
      <c r="L869" t="s">
        <v>74</v>
      </c>
      <c r="M869" t="s">
        <v>78</v>
      </c>
      <c r="N869" t="s">
        <v>2737</v>
      </c>
      <c r="O869" t="s">
        <v>74</v>
      </c>
      <c r="P869" t="s">
        <v>74</v>
      </c>
      <c r="Q869" t="s">
        <v>74</v>
      </c>
      <c r="R869" t="s">
        <v>74</v>
      </c>
      <c r="S869" t="s">
        <v>74</v>
      </c>
      <c r="T869" t="s">
        <v>11484</v>
      </c>
      <c r="U869" t="s">
        <v>11485</v>
      </c>
      <c r="V869" t="s">
        <v>11486</v>
      </c>
      <c r="W869" t="s">
        <v>11487</v>
      </c>
      <c r="X869" t="s">
        <v>11488</v>
      </c>
      <c r="Y869" t="s">
        <v>11489</v>
      </c>
      <c r="Z869" t="s">
        <v>11490</v>
      </c>
      <c r="AA869" t="s">
        <v>74</v>
      </c>
      <c r="AB869" t="s">
        <v>74</v>
      </c>
      <c r="AC869" t="s">
        <v>74</v>
      </c>
      <c r="AD869" t="s">
        <v>74</v>
      </c>
      <c r="AE869" t="s">
        <v>74</v>
      </c>
      <c r="AF869" t="s">
        <v>74</v>
      </c>
      <c r="AG869">
        <v>51</v>
      </c>
      <c r="AH869">
        <v>65</v>
      </c>
      <c r="AI869">
        <v>71</v>
      </c>
      <c r="AJ869">
        <v>1</v>
      </c>
      <c r="AK869">
        <v>20</v>
      </c>
      <c r="AL869" t="s">
        <v>3933</v>
      </c>
      <c r="AM869" t="s">
        <v>3258</v>
      </c>
      <c r="AN869" t="s">
        <v>3934</v>
      </c>
      <c r="AO869" t="s">
        <v>6751</v>
      </c>
      <c r="AP869" t="s">
        <v>6752</v>
      </c>
      <c r="AQ869" t="s">
        <v>74</v>
      </c>
      <c r="AR869" t="s">
        <v>6753</v>
      </c>
      <c r="AS869" t="s">
        <v>6754</v>
      </c>
      <c r="AT869" t="s">
        <v>11461</v>
      </c>
      <c r="AU869">
        <v>2008</v>
      </c>
      <c r="AV869">
        <v>66</v>
      </c>
      <c r="AW869" t="s">
        <v>3263</v>
      </c>
      <c r="AX869" t="s">
        <v>74</v>
      </c>
      <c r="AY869" t="s">
        <v>74</v>
      </c>
      <c r="AZ869" t="s">
        <v>74</v>
      </c>
      <c r="BA869" t="s">
        <v>74</v>
      </c>
      <c r="BB869">
        <v>222</v>
      </c>
      <c r="BC869">
        <v>232</v>
      </c>
      <c r="BD869" t="s">
        <v>74</v>
      </c>
      <c r="BE869" t="s">
        <v>11491</v>
      </c>
      <c r="BF869" t="str">
        <f>HYPERLINK("http://dx.doi.org/10.1016/j.marmicro.2007.10.001","http://dx.doi.org/10.1016/j.marmicro.2007.10.001")</f>
        <v>http://dx.doi.org/10.1016/j.marmicro.2007.10.001</v>
      </c>
      <c r="BG869" t="s">
        <v>74</v>
      </c>
      <c r="BH869" t="s">
        <v>74</v>
      </c>
      <c r="BI869">
        <v>11</v>
      </c>
      <c r="BJ869" t="s">
        <v>3226</v>
      </c>
      <c r="BK869" t="s">
        <v>419</v>
      </c>
      <c r="BL869" t="s">
        <v>3226</v>
      </c>
      <c r="BM869" t="s">
        <v>11479</v>
      </c>
      <c r="BN869" t="s">
        <v>74</v>
      </c>
      <c r="BO869" t="s">
        <v>74</v>
      </c>
      <c r="BP869" t="s">
        <v>74</v>
      </c>
      <c r="BQ869" t="s">
        <v>74</v>
      </c>
      <c r="BR869" t="s">
        <v>101</v>
      </c>
      <c r="BS869" t="s">
        <v>11492</v>
      </c>
      <c r="BT869" t="str">
        <f>HYPERLINK("https%3A%2F%2Fwww.webofscience.com%2Fwos%2Fwoscc%2Ffull-record%2FWOS:000254134000005","View Full Record in Web of Science")</f>
        <v>View Full Record in Web of Science</v>
      </c>
    </row>
    <row r="870" spans="1:72" x14ac:dyDescent="0.15">
      <c r="A870" t="s">
        <v>72</v>
      </c>
      <c r="B870" t="s">
        <v>11493</v>
      </c>
      <c r="C870" t="s">
        <v>74</v>
      </c>
      <c r="D870" t="s">
        <v>74</v>
      </c>
      <c r="E870" t="s">
        <v>74</v>
      </c>
      <c r="F870" t="s">
        <v>11494</v>
      </c>
      <c r="G870" t="s">
        <v>74</v>
      </c>
      <c r="H870" t="s">
        <v>74</v>
      </c>
      <c r="I870" t="s">
        <v>11495</v>
      </c>
      <c r="J870" t="s">
        <v>3396</v>
      </c>
      <c r="K870" t="s">
        <v>74</v>
      </c>
      <c r="L870" t="s">
        <v>74</v>
      </c>
      <c r="M870" t="s">
        <v>78</v>
      </c>
      <c r="N870" t="s">
        <v>2737</v>
      </c>
      <c r="O870" t="s">
        <v>74</v>
      </c>
      <c r="P870" t="s">
        <v>74</v>
      </c>
      <c r="Q870" t="s">
        <v>74</v>
      </c>
      <c r="R870" t="s">
        <v>74</v>
      </c>
      <c r="S870" t="s">
        <v>74</v>
      </c>
      <c r="T870" t="s">
        <v>74</v>
      </c>
      <c r="U870" t="s">
        <v>11496</v>
      </c>
      <c r="V870" t="s">
        <v>11497</v>
      </c>
      <c r="W870" t="s">
        <v>11498</v>
      </c>
      <c r="X870" t="s">
        <v>11499</v>
      </c>
      <c r="Y870" t="s">
        <v>11500</v>
      </c>
      <c r="Z870" t="s">
        <v>11501</v>
      </c>
      <c r="AA870" t="s">
        <v>74</v>
      </c>
      <c r="AB870" t="s">
        <v>11502</v>
      </c>
      <c r="AC870" t="s">
        <v>74</v>
      </c>
      <c r="AD870" t="s">
        <v>74</v>
      </c>
      <c r="AE870" t="s">
        <v>74</v>
      </c>
      <c r="AF870" t="s">
        <v>74</v>
      </c>
      <c r="AG870">
        <v>55</v>
      </c>
      <c r="AH870">
        <v>57</v>
      </c>
      <c r="AI870">
        <v>66</v>
      </c>
      <c r="AJ870">
        <v>0</v>
      </c>
      <c r="AK870">
        <v>9</v>
      </c>
      <c r="AL870" t="s">
        <v>3280</v>
      </c>
      <c r="AM870" t="s">
        <v>3281</v>
      </c>
      <c r="AN870" t="s">
        <v>3282</v>
      </c>
      <c r="AO870" t="s">
        <v>3406</v>
      </c>
      <c r="AP870" t="s">
        <v>3407</v>
      </c>
      <c r="AQ870" t="s">
        <v>74</v>
      </c>
      <c r="AR870" t="s">
        <v>3408</v>
      </c>
      <c r="AS870" t="s">
        <v>3409</v>
      </c>
      <c r="AT870" t="s">
        <v>11503</v>
      </c>
      <c r="AU870">
        <v>2008</v>
      </c>
      <c r="AV870">
        <v>113</v>
      </c>
      <c r="AW870" t="s">
        <v>11357</v>
      </c>
      <c r="AX870" t="s">
        <v>74</v>
      </c>
      <c r="AY870" t="s">
        <v>74</v>
      </c>
      <c r="AZ870" t="s">
        <v>74</v>
      </c>
      <c r="BA870" t="s">
        <v>74</v>
      </c>
      <c r="BB870" t="s">
        <v>74</v>
      </c>
      <c r="BC870" t="s">
        <v>74</v>
      </c>
      <c r="BD870" t="s">
        <v>11504</v>
      </c>
      <c r="BE870" t="s">
        <v>11505</v>
      </c>
      <c r="BF870" t="str">
        <f>HYPERLINK("http://dx.doi.org/10.1029/2007JD008892","http://dx.doi.org/10.1029/2007JD008892")</f>
        <v>http://dx.doi.org/10.1029/2007JD008892</v>
      </c>
      <c r="BG870" t="s">
        <v>74</v>
      </c>
      <c r="BH870" t="s">
        <v>74</v>
      </c>
      <c r="BI870">
        <v>13</v>
      </c>
      <c r="BJ870" t="s">
        <v>3071</v>
      </c>
      <c r="BK870" t="s">
        <v>419</v>
      </c>
      <c r="BL870" t="s">
        <v>3071</v>
      </c>
      <c r="BM870" t="s">
        <v>11506</v>
      </c>
      <c r="BN870" t="s">
        <v>74</v>
      </c>
      <c r="BO870" t="s">
        <v>3290</v>
      </c>
      <c r="BP870" t="s">
        <v>74</v>
      </c>
      <c r="BQ870" t="s">
        <v>74</v>
      </c>
      <c r="BR870" t="s">
        <v>101</v>
      </c>
      <c r="BS870" t="s">
        <v>11507</v>
      </c>
      <c r="BT870" t="str">
        <f>HYPERLINK("https%3A%2F%2Fwww.webofscience.com%2Fwos%2Fwoscc%2Ffull-record%2FWOS:000253531400002","View Full Record in Web of Science")</f>
        <v>View Full Record in Web of Science</v>
      </c>
    </row>
    <row r="871" spans="1:72" x14ac:dyDescent="0.15">
      <c r="A871" t="s">
        <v>72</v>
      </c>
      <c r="B871" t="s">
        <v>11508</v>
      </c>
      <c r="C871" t="s">
        <v>74</v>
      </c>
      <c r="D871" t="s">
        <v>74</v>
      </c>
      <c r="E871" t="s">
        <v>74</v>
      </c>
      <c r="F871" t="s">
        <v>11509</v>
      </c>
      <c r="G871" t="s">
        <v>74</v>
      </c>
      <c r="H871" t="s">
        <v>74</v>
      </c>
      <c r="I871" t="s">
        <v>11510</v>
      </c>
      <c r="J871" t="s">
        <v>3432</v>
      </c>
      <c r="K871" t="s">
        <v>74</v>
      </c>
      <c r="L871" t="s">
        <v>74</v>
      </c>
      <c r="M871" t="s">
        <v>78</v>
      </c>
      <c r="N871" t="s">
        <v>2737</v>
      </c>
      <c r="O871" t="s">
        <v>74</v>
      </c>
      <c r="P871" t="s">
        <v>74</v>
      </c>
      <c r="Q871" t="s">
        <v>74</v>
      </c>
      <c r="R871" t="s">
        <v>74</v>
      </c>
      <c r="S871" t="s">
        <v>74</v>
      </c>
      <c r="T871" t="s">
        <v>74</v>
      </c>
      <c r="U871" t="s">
        <v>11511</v>
      </c>
      <c r="V871" t="s">
        <v>11512</v>
      </c>
      <c r="W871" t="s">
        <v>11513</v>
      </c>
      <c r="X871" t="s">
        <v>11514</v>
      </c>
      <c r="Y871" t="s">
        <v>11515</v>
      </c>
      <c r="Z871" t="s">
        <v>11516</v>
      </c>
      <c r="AA871" t="s">
        <v>11517</v>
      </c>
      <c r="AB871" t="s">
        <v>11518</v>
      </c>
      <c r="AC871" t="s">
        <v>11519</v>
      </c>
      <c r="AD871" t="s">
        <v>11520</v>
      </c>
      <c r="AE871" t="s">
        <v>74</v>
      </c>
      <c r="AF871" t="s">
        <v>74</v>
      </c>
      <c r="AG871">
        <v>87</v>
      </c>
      <c r="AH871">
        <v>59</v>
      </c>
      <c r="AI871">
        <v>67</v>
      </c>
      <c r="AJ871">
        <v>0</v>
      </c>
      <c r="AK871">
        <v>16</v>
      </c>
      <c r="AL871" t="s">
        <v>3280</v>
      </c>
      <c r="AM871" t="s">
        <v>3281</v>
      </c>
      <c r="AN871" t="s">
        <v>3282</v>
      </c>
      <c r="AO871" t="s">
        <v>3439</v>
      </c>
      <c r="AP871" t="s">
        <v>3440</v>
      </c>
      <c r="AQ871" t="s">
        <v>74</v>
      </c>
      <c r="AR871" t="s">
        <v>3441</v>
      </c>
      <c r="AS871" t="s">
        <v>3442</v>
      </c>
      <c r="AT871" t="s">
        <v>11503</v>
      </c>
      <c r="AU871">
        <v>2008</v>
      </c>
      <c r="AV871">
        <v>113</v>
      </c>
      <c r="AW871" t="s">
        <v>11418</v>
      </c>
      <c r="AX871" t="s">
        <v>74</v>
      </c>
      <c r="AY871" t="s">
        <v>74</v>
      </c>
      <c r="AZ871" t="s">
        <v>74</v>
      </c>
      <c r="BA871" t="s">
        <v>74</v>
      </c>
      <c r="BB871" t="s">
        <v>74</v>
      </c>
      <c r="BC871" t="s">
        <v>74</v>
      </c>
      <c r="BD871" t="s">
        <v>11521</v>
      </c>
      <c r="BE871" t="s">
        <v>11522</v>
      </c>
      <c r="BF871" t="str">
        <f>HYPERLINK("http://dx.doi.org/10.1029/2007JC004239","http://dx.doi.org/10.1029/2007JC004239")</f>
        <v>http://dx.doi.org/10.1029/2007JC004239</v>
      </c>
      <c r="BG871" t="s">
        <v>74</v>
      </c>
      <c r="BH871" t="s">
        <v>74</v>
      </c>
      <c r="BI871">
        <v>23</v>
      </c>
      <c r="BJ871" t="s">
        <v>3447</v>
      </c>
      <c r="BK871" t="s">
        <v>419</v>
      </c>
      <c r="BL871" t="s">
        <v>3447</v>
      </c>
      <c r="BM871" t="s">
        <v>11523</v>
      </c>
      <c r="BN871" t="s">
        <v>74</v>
      </c>
      <c r="BO871" t="s">
        <v>3033</v>
      </c>
      <c r="BP871" t="s">
        <v>74</v>
      </c>
      <c r="BQ871" t="s">
        <v>74</v>
      </c>
      <c r="BR871" t="s">
        <v>101</v>
      </c>
      <c r="BS871" t="s">
        <v>11524</v>
      </c>
      <c r="BT871" t="str">
        <f>HYPERLINK("https%3A%2F%2Fwww.webofscience.com%2Fwos%2Fwoscc%2Ffull-record%2FWOS:000253532200002","View Full Record in Web of Science")</f>
        <v>View Full Record in Web of Science</v>
      </c>
    </row>
    <row r="872" spans="1:72" x14ac:dyDescent="0.15">
      <c r="A872" t="s">
        <v>72</v>
      </c>
      <c r="B872" t="s">
        <v>11525</v>
      </c>
      <c r="C872" t="s">
        <v>74</v>
      </c>
      <c r="D872" t="s">
        <v>74</v>
      </c>
      <c r="E872" t="s">
        <v>74</v>
      </c>
      <c r="F872" t="s">
        <v>11526</v>
      </c>
      <c r="G872" t="s">
        <v>74</v>
      </c>
      <c r="H872" t="s">
        <v>74</v>
      </c>
      <c r="I872" t="s">
        <v>11527</v>
      </c>
      <c r="J872" t="s">
        <v>3453</v>
      </c>
      <c r="K872" t="s">
        <v>74</v>
      </c>
      <c r="L872" t="s">
        <v>74</v>
      </c>
      <c r="M872" t="s">
        <v>78</v>
      </c>
      <c r="N872" t="s">
        <v>2737</v>
      </c>
      <c r="O872" t="s">
        <v>74</v>
      </c>
      <c r="P872" t="s">
        <v>74</v>
      </c>
      <c r="Q872" t="s">
        <v>74</v>
      </c>
      <c r="R872" t="s">
        <v>74</v>
      </c>
      <c r="S872" t="s">
        <v>74</v>
      </c>
      <c r="T872" t="s">
        <v>74</v>
      </c>
      <c r="U872" t="s">
        <v>11528</v>
      </c>
      <c r="V872" t="s">
        <v>11529</v>
      </c>
      <c r="W872" t="s">
        <v>11530</v>
      </c>
      <c r="X872" t="s">
        <v>11531</v>
      </c>
      <c r="Y872" t="s">
        <v>11532</v>
      </c>
      <c r="Z872" t="s">
        <v>11533</v>
      </c>
      <c r="AA872" t="s">
        <v>11534</v>
      </c>
      <c r="AB872" t="s">
        <v>11535</v>
      </c>
      <c r="AC872" t="s">
        <v>74</v>
      </c>
      <c r="AD872" t="s">
        <v>74</v>
      </c>
      <c r="AE872" t="s">
        <v>74</v>
      </c>
      <c r="AF872" t="s">
        <v>74</v>
      </c>
      <c r="AG872">
        <v>49</v>
      </c>
      <c r="AH872">
        <v>114</v>
      </c>
      <c r="AI872">
        <v>126</v>
      </c>
      <c r="AJ872">
        <v>3</v>
      </c>
      <c r="AK872">
        <v>119</v>
      </c>
      <c r="AL872" t="s">
        <v>3463</v>
      </c>
      <c r="AM872" t="s">
        <v>3281</v>
      </c>
      <c r="AN872" t="s">
        <v>3464</v>
      </c>
      <c r="AO872" t="s">
        <v>3465</v>
      </c>
      <c r="AP872" t="s">
        <v>11536</v>
      </c>
      <c r="AQ872" t="s">
        <v>74</v>
      </c>
      <c r="AR872" t="s">
        <v>3466</v>
      </c>
      <c r="AS872" t="s">
        <v>3467</v>
      </c>
      <c r="AT872" t="s">
        <v>11503</v>
      </c>
      <c r="AU872">
        <v>2008</v>
      </c>
      <c r="AV872">
        <v>105</v>
      </c>
      <c r="AW872">
        <v>7</v>
      </c>
      <c r="AX872" t="s">
        <v>74</v>
      </c>
      <c r="AY872" t="s">
        <v>74</v>
      </c>
      <c r="AZ872" t="s">
        <v>74</v>
      </c>
      <c r="BA872" t="s">
        <v>74</v>
      </c>
      <c r="BB872">
        <v>2493</v>
      </c>
      <c r="BC872">
        <v>2497</v>
      </c>
      <c r="BD872" t="s">
        <v>74</v>
      </c>
      <c r="BE872" t="s">
        <v>11537</v>
      </c>
      <c r="BF872" t="str">
        <f>HYPERLINK("http://dx.doi.org/10.1073/pnas.0712031105","http://dx.doi.org/10.1073/pnas.0712031105")</f>
        <v>http://dx.doi.org/10.1073/pnas.0712031105</v>
      </c>
      <c r="BG872" t="s">
        <v>74</v>
      </c>
      <c r="BH872" t="s">
        <v>74</v>
      </c>
      <c r="BI872">
        <v>5</v>
      </c>
      <c r="BJ872" t="s">
        <v>3123</v>
      </c>
      <c r="BK872" t="s">
        <v>419</v>
      </c>
      <c r="BL872" t="s">
        <v>3124</v>
      </c>
      <c r="BM872" t="s">
        <v>11538</v>
      </c>
      <c r="BN872">
        <v>18268328</v>
      </c>
      <c r="BO872" t="s">
        <v>3311</v>
      </c>
      <c r="BP872" t="s">
        <v>74</v>
      </c>
      <c r="BQ872" t="s">
        <v>74</v>
      </c>
      <c r="BR872" t="s">
        <v>101</v>
      </c>
      <c r="BS872" t="s">
        <v>11539</v>
      </c>
      <c r="BT872" t="str">
        <f>HYPERLINK("https%3A%2F%2Fwww.webofscience.com%2Fwos%2Fwoscc%2Ffull-record%2FWOS:000253469900045","View Full Record in Web of Science")</f>
        <v>View Full Record in Web of Science</v>
      </c>
    </row>
    <row r="873" spans="1:72" x14ac:dyDescent="0.15">
      <c r="A873" t="s">
        <v>72</v>
      </c>
      <c r="B873" t="s">
        <v>11540</v>
      </c>
      <c r="C873" t="s">
        <v>74</v>
      </c>
      <c r="D873" t="s">
        <v>74</v>
      </c>
      <c r="E873" t="s">
        <v>74</v>
      </c>
      <c r="F873" t="s">
        <v>11541</v>
      </c>
      <c r="G873" t="s">
        <v>74</v>
      </c>
      <c r="H873" t="s">
        <v>74</v>
      </c>
      <c r="I873" t="s">
        <v>11542</v>
      </c>
      <c r="J873" t="s">
        <v>3432</v>
      </c>
      <c r="K873" t="s">
        <v>74</v>
      </c>
      <c r="L873" t="s">
        <v>74</v>
      </c>
      <c r="M873" t="s">
        <v>78</v>
      </c>
      <c r="N873" t="s">
        <v>2737</v>
      </c>
      <c r="O873" t="s">
        <v>74</v>
      </c>
      <c r="P873" t="s">
        <v>74</v>
      </c>
      <c r="Q873" t="s">
        <v>74</v>
      </c>
      <c r="R873" t="s">
        <v>74</v>
      </c>
      <c r="S873" t="s">
        <v>74</v>
      </c>
      <c r="T873" t="s">
        <v>74</v>
      </c>
      <c r="U873" t="s">
        <v>11543</v>
      </c>
      <c r="V873" t="s">
        <v>11544</v>
      </c>
      <c r="W873" t="s">
        <v>11545</v>
      </c>
      <c r="X873" t="s">
        <v>1712</v>
      </c>
      <c r="Y873" t="s">
        <v>11546</v>
      </c>
      <c r="Z873" t="s">
        <v>11547</v>
      </c>
      <c r="AA873" t="s">
        <v>11548</v>
      </c>
      <c r="AB873" t="s">
        <v>11549</v>
      </c>
      <c r="AC873" t="s">
        <v>74</v>
      </c>
      <c r="AD873" t="s">
        <v>74</v>
      </c>
      <c r="AE873" t="s">
        <v>74</v>
      </c>
      <c r="AF873" t="s">
        <v>74</v>
      </c>
      <c r="AG873">
        <v>22</v>
      </c>
      <c r="AH873">
        <v>12</v>
      </c>
      <c r="AI873">
        <v>17</v>
      </c>
      <c r="AJ873">
        <v>1</v>
      </c>
      <c r="AK873">
        <v>12</v>
      </c>
      <c r="AL873" t="s">
        <v>3280</v>
      </c>
      <c r="AM873" t="s">
        <v>3281</v>
      </c>
      <c r="AN873" t="s">
        <v>3282</v>
      </c>
      <c r="AO873" t="s">
        <v>3439</v>
      </c>
      <c r="AP873" t="s">
        <v>3440</v>
      </c>
      <c r="AQ873" t="s">
        <v>74</v>
      </c>
      <c r="AR873" t="s">
        <v>3441</v>
      </c>
      <c r="AS873" t="s">
        <v>3442</v>
      </c>
      <c r="AT873" t="s">
        <v>11550</v>
      </c>
      <c r="AU873">
        <v>2008</v>
      </c>
      <c r="AV873">
        <v>113</v>
      </c>
      <c r="AW873" t="s">
        <v>11418</v>
      </c>
      <c r="AX873" t="s">
        <v>74</v>
      </c>
      <c r="AY873" t="s">
        <v>74</v>
      </c>
      <c r="AZ873" t="s">
        <v>74</v>
      </c>
      <c r="BA873" t="s">
        <v>74</v>
      </c>
      <c r="BB873" t="s">
        <v>74</v>
      </c>
      <c r="BC873" t="s">
        <v>74</v>
      </c>
      <c r="BD873" t="s">
        <v>11551</v>
      </c>
      <c r="BE873" t="s">
        <v>11552</v>
      </c>
      <c r="BF873" t="str">
        <f>HYPERLINK("http://dx.doi.org/10.1029/2007JC004253","http://dx.doi.org/10.1029/2007JC004253")</f>
        <v>http://dx.doi.org/10.1029/2007JC004253</v>
      </c>
      <c r="BG873" t="s">
        <v>74</v>
      </c>
      <c r="BH873" t="s">
        <v>74</v>
      </c>
      <c r="BI873">
        <v>15</v>
      </c>
      <c r="BJ873" t="s">
        <v>3447</v>
      </c>
      <c r="BK873" t="s">
        <v>419</v>
      </c>
      <c r="BL873" t="s">
        <v>3447</v>
      </c>
      <c r="BM873" t="s">
        <v>11553</v>
      </c>
      <c r="BN873" t="s">
        <v>74</v>
      </c>
      <c r="BO873" t="s">
        <v>74</v>
      </c>
      <c r="BP873" t="s">
        <v>74</v>
      </c>
      <c r="BQ873" t="s">
        <v>74</v>
      </c>
      <c r="BR873" t="s">
        <v>101</v>
      </c>
      <c r="BS873" t="s">
        <v>11554</v>
      </c>
      <c r="BT873" t="str">
        <f>HYPERLINK("https%3A%2F%2Fwww.webofscience.com%2Fwos%2Fwoscc%2Ffull-record%2FWOS:000253235900001","View Full Record in Web of Science")</f>
        <v>View Full Record in Web of Science</v>
      </c>
    </row>
    <row r="874" spans="1:72" x14ac:dyDescent="0.15">
      <c r="A874" t="s">
        <v>72</v>
      </c>
      <c r="B874" t="s">
        <v>11555</v>
      </c>
      <c r="C874" t="s">
        <v>74</v>
      </c>
      <c r="D874" t="s">
        <v>74</v>
      </c>
      <c r="E874" t="s">
        <v>74</v>
      </c>
      <c r="F874" t="s">
        <v>11556</v>
      </c>
      <c r="G874" t="s">
        <v>74</v>
      </c>
      <c r="H874" t="s">
        <v>74</v>
      </c>
      <c r="I874" t="s">
        <v>11557</v>
      </c>
      <c r="J874" t="s">
        <v>3295</v>
      </c>
      <c r="K874" t="s">
        <v>74</v>
      </c>
      <c r="L874" t="s">
        <v>74</v>
      </c>
      <c r="M874" t="s">
        <v>78</v>
      </c>
      <c r="N874" t="s">
        <v>2737</v>
      </c>
      <c r="O874" t="s">
        <v>74</v>
      </c>
      <c r="P874" t="s">
        <v>74</v>
      </c>
      <c r="Q874" t="s">
        <v>74</v>
      </c>
      <c r="R874" t="s">
        <v>74</v>
      </c>
      <c r="S874" t="s">
        <v>74</v>
      </c>
      <c r="T874" t="s">
        <v>74</v>
      </c>
      <c r="U874" t="s">
        <v>11558</v>
      </c>
      <c r="V874" t="s">
        <v>11559</v>
      </c>
      <c r="W874" t="s">
        <v>11560</v>
      </c>
      <c r="X874" t="s">
        <v>11561</v>
      </c>
      <c r="Y874" t="s">
        <v>11562</v>
      </c>
      <c r="Z874" t="s">
        <v>11563</v>
      </c>
      <c r="AA874" t="s">
        <v>11564</v>
      </c>
      <c r="AB874" t="s">
        <v>11565</v>
      </c>
      <c r="AC874" t="s">
        <v>74</v>
      </c>
      <c r="AD874" t="s">
        <v>74</v>
      </c>
      <c r="AE874" t="s">
        <v>74</v>
      </c>
      <c r="AF874" t="s">
        <v>74</v>
      </c>
      <c r="AG874">
        <v>32</v>
      </c>
      <c r="AH874">
        <v>77</v>
      </c>
      <c r="AI874">
        <v>96</v>
      </c>
      <c r="AJ874">
        <v>2</v>
      </c>
      <c r="AK874">
        <v>25</v>
      </c>
      <c r="AL874" t="s">
        <v>3280</v>
      </c>
      <c r="AM874" t="s">
        <v>3281</v>
      </c>
      <c r="AN874" t="s">
        <v>3282</v>
      </c>
      <c r="AO874" t="s">
        <v>3304</v>
      </c>
      <c r="AP874" t="s">
        <v>3305</v>
      </c>
      <c r="AQ874" t="s">
        <v>74</v>
      </c>
      <c r="AR874" t="s">
        <v>3306</v>
      </c>
      <c r="AS874" t="s">
        <v>3307</v>
      </c>
      <c r="AT874" t="s">
        <v>11566</v>
      </c>
      <c r="AU874">
        <v>2008</v>
      </c>
      <c r="AV874">
        <v>35</v>
      </c>
      <c r="AW874">
        <v>3</v>
      </c>
      <c r="AX874" t="s">
        <v>74</v>
      </c>
      <c r="AY874" t="s">
        <v>74</v>
      </c>
      <c r="AZ874" t="s">
        <v>74</v>
      </c>
      <c r="BA874" t="s">
        <v>74</v>
      </c>
      <c r="BB874" t="s">
        <v>74</v>
      </c>
      <c r="BC874" t="s">
        <v>74</v>
      </c>
      <c r="BD874" t="s">
        <v>11567</v>
      </c>
      <c r="BE874" t="s">
        <v>11568</v>
      </c>
      <c r="BF874" t="str">
        <f>HYPERLINK("http://dx.doi.org/10.1029/2007GL032254","http://dx.doi.org/10.1029/2007GL032254")</f>
        <v>http://dx.doi.org/10.1029/2007GL032254</v>
      </c>
      <c r="BG874" t="s">
        <v>74</v>
      </c>
      <c r="BH874" t="s">
        <v>74</v>
      </c>
      <c r="BI874">
        <v>5</v>
      </c>
      <c r="BJ874" t="s">
        <v>3093</v>
      </c>
      <c r="BK874" t="s">
        <v>419</v>
      </c>
      <c r="BL874" t="s">
        <v>3094</v>
      </c>
      <c r="BM874" t="s">
        <v>11569</v>
      </c>
      <c r="BN874" t="s">
        <v>74</v>
      </c>
      <c r="BO874" t="s">
        <v>3290</v>
      </c>
      <c r="BP874" t="s">
        <v>74</v>
      </c>
      <c r="BQ874" t="s">
        <v>74</v>
      </c>
      <c r="BR874" t="s">
        <v>101</v>
      </c>
      <c r="BS874" t="s">
        <v>11570</v>
      </c>
      <c r="BT874" t="str">
        <f>HYPERLINK("https%3A%2F%2Fwww.webofscience.com%2Fwos%2Fwoscc%2Ffull-record%2FWOS:000253232000003","View Full Record in Web of Science")</f>
        <v>View Full Record in Web of Science</v>
      </c>
    </row>
    <row r="875" spans="1:72" x14ac:dyDescent="0.15">
      <c r="A875" t="s">
        <v>72</v>
      </c>
      <c r="B875" t="s">
        <v>11571</v>
      </c>
      <c r="C875" t="s">
        <v>74</v>
      </c>
      <c r="D875" t="s">
        <v>74</v>
      </c>
      <c r="E875" t="s">
        <v>74</v>
      </c>
      <c r="F875" t="s">
        <v>11572</v>
      </c>
      <c r="G875" t="s">
        <v>74</v>
      </c>
      <c r="H875" t="s">
        <v>74</v>
      </c>
      <c r="I875" t="s">
        <v>11573</v>
      </c>
      <c r="J875" t="s">
        <v>4875</v>
      </c>
      <c r="K875" t="s">
        <v>74</v>
      </c>
      <c r="L875" t="s">
        <v>74</v>
      </c>
      <c r="M875" t="s">
        <v>78</v>
      </c>
      <c r="N875" t="s">
        <v>2737</v>
      </c>
      <c r="O875" t="s">
        <v>74</v>
      </c>
      <c r="P875" t="s">
        <v>74</v>
      </c>
      <c r="Q875" t="s">
        <v>74</v>
      </c>
      <c r="R875" t="s">
        <v>74</v>
      </c>
      <c r="S875" t="s">
        <v>74</v>
      </c>
      <c r="T875" t="s">
        <v>11574</v>
      </c>
      <c r="U875" t="s">
        <v>11575</v>
      </c>
      <c r="V875" t="s">
        <v>11576</v>
      </c>
      <c r="W875" t="s">
        <v>11577</v>
      </c>
      <c r="X875" t="s">
        <v>11578</v>
      </c>
      <c r="Y875" t="s">
        <v>11579</v>
      </c>
      <c r="Z875" t="s">
        <v>11580</v>
      </c>
      <c r="AA875" t="s">
        <v>74</v>
      </c>
      <c r="AB875" t="s">
        <v>11581</v>
      </c>
      <c r="AC875" t="s">
        <v>74</v>
      </c>
      <c r="AD875" t="s">
        <v>74</v>
      </c>
      <c r="AE875" t="s">
        <v>74</v>
      </c>
      <c r="AF875" t="s">
        <v>74</v>
      </c>
      <c r="AG875">
        <v>34</v>
      </c>
      <c r="AH875">
        <v>92</v>
      </c>
      <c r="AI875">
        <v>104</v>
      </c>
      <c r="AJ875">
        <v>1</v>
      </c>
      <c r="AK875">
        <v>24</v>
      </c>
      <c r="AL875" t="s">
        <v>10794</v>
      </c>
      <c r="AM875" t="s">
        <v>4364</v>
      </c>
      <c r="AN875" t="s">
        <v>10795</v>
      </c>
      <c r="AO875" t="s">
        <v>4885</v>
      </c>
      <c r="AP875" t="s">
        <v>4886</v>
      </c>
      <c r="AQ875" t="s">
        <v>74</v>
      </c>
      <c r="AR875" t="s">
        <v>4887</v>
      </c>
      <c r="AS875" t="s">
        <v>4888</v>
      </c>
      <c r="AT875" t="s">
        <v>11566</v>
      </c>
      <c r="AU875">
        <v>2008</v>
      </c>
      <c r="AV875">
        <v>211</v>
      </c>
      <c r="AW875">
        <v>4</v>
      </c>
      <c r="AX875" t="s">
        <v>74</v>
      </c>
      <c r="AY875" t="s">
        <v>74</v>
      </c>
      <c r="AZ875" t="s">
        <v>74</v>
      </c>
      <c r="BA875" t="s">
        <v>74</v>
      </c>
      <c r="BB875">
        <v>524</v>
      </c>
      <c r="BC875">
        <v>530</v>
      </c>
      <c r="BD875" t="s">
        <v>74</v>
      </c>
      <c r="BE875" t="s">
        <v>11582</v>
      </c>
      <c r="BF875" t="str">
        <f>HYPERLINK("http://dx.doi.org/10.1242/jeb.011874","http://dx.doi.org/10.1242/jeb.011874")</f>
        <v>http://dx.doi.org/10.1242/jeb.011874</v>
      </c>
      <c r="BG875" t="s">
        <v>74</v>
      </c>
      <c r="BH875" t="s">
        <v>74</v>
      </c>
      <c r="BI875">
        <v>7</v>
      </c>
      <c r="BJ875" t="s">
        <v>4890</v>
      </c>
      <c r="BK875" t="s">
        <v>419</v>
      </c>
      <c r="BL875" t="s">
        <v>4891</v>
      </c>
      <c r="BM875" t="s">
        <v>11583</v>
      </c>
      <c r="BN875">
        <v>18245628</v>
      </c>
      <c r="BO875" t="s">
        <v>6104</v>
      </c>
      <c r="BP875" t="s">
        <v>74</v>
      </c>
      <c r="BQ875" t="s">
        <v>74</v>
      </c>
      <c r="BR875" t="s">
        <v>101</v>
      </c>
      <c r="BS875" t="s">
        <v>11584</v>
      </c>
      <c r="BT875" t="str">
        <f>HYPERLINK("https%3A%2F%2Fwww.webofscience.com%2Fwos%2Fwoscc%2Ffull-record%2FWOS:000253196500010","View Full Record in Web of Science")</f>
        <v>View Full Record in Web of Science</v>
      </c>
    </row>
    <row r="876" spans="1:72" x14ac:dyDescent="0.15">
      <c r="A876" t="s">
        <v>72</v>
      </c>
      <c r="B876" t="s">
        <v>11585</v>
      </c>
      <c r="C876" t="s">
        <v>74</v>
      </c>
      <c r="D876" t="s">
        <v>74</v>
      </c>
      <c r="E876" t="s">
        <v>74</v>
      </c>
      <c r="F876" t="s">
        <v>11586</v>
      </c>
      <c r="G876" t="s">
        <v>74</v>
      </c>
      <c r="H876" t="s">
        <v>74</v>
      </c>
      <c r="I876" t="s">
        <v>11587</v>
      </c>
      <c r="J876" t="s">
        <v>3295</v>
      </c>
      <c r="K876" t="s">
        <v>74</v>
      </c>
      <c r="L876" t="s">
        <v>74</v>
      </c>
      <c r="M876" t="s">
        <v>78</v>
      </c>
      <c r="N876" t="s">
        <v>2737</v>
      </c>
      <c r="O876" t="s">
        <v>74</v>
      </c>
      <c r="P876" t="s">
        <v>74</v>
      </c>
      <c r="Q876" t="s">
        <v>74</v>
      </c>
      <c r="R876" t="s">
        <v>74</v>
      </c>
      <c r="S876" t="s">
        <v>74</v>
      </c>
      <c r="T876" t="s">
        <v>74</v>
      </c>
      <c r="U876" t="s">
        <v>11588</v>
      </c>
      <c r="V876" t="s">
        <v>11589</v>
      </c>
      <c r="W876" t="s">
        <v>11590</v>
      </c>
      <c r="X876" t="s">
        <v>9848</v>
      </c>
      <c r="Y876" t="s">
        <v>11591</v>
      </c>
      <c r="Z876" t="s">
        <v>11592</v>
      </c>
      <c r="AA876" t="s">
        <v>11593</v>
      </c>
      <c r="AB876" t="s">
        <v>11594</v>
      </c>
      <c r="AC876" t="s">
        <v>74</v>
      </c>
      <c r="AD876" t="s">
        <v>74</v>
      </c>
      <c r="AE876" t="s">
        <v>74</v>
      </c>
      <c r="AF876" t="s">
        <v>74</v>
      </c>
      <c r="AG876">
        <v>16</v>
      </c>
      <c r="AH876">
        <v>10</v>
      </c>
      <c r="AI876">
        <v>11</v>
      </c>
      <c r="AJ876">
        <v>0</v>
      </c>
      <c r="AK876">
        <v>4</v>
      </c>
      <c r="AL876" t="s">
        <v>3280</v>
      </c>
      <c r="AM876" t="s">
        <v>3281</v>
      </c>
      <c r="AN876" t="s">
        <v>3282</v>
      </c>
      <c r="AO876" t="s">
        <v>3304</v>
      </c>
      <c r="AP876" t="s">
        <v>3305</v>
      </c>
      <c r="AQ876" t="s">
        <v>74</v>
      </c>
      <c r="AR876" t="s">
        <v>3306</v>
      </c>
      <c r="AS876" t="s">
        <v>3307</v>
      </c>
      <c r="AT876" t="s">
        <v>11595</v>
      </c>
      <c r="AU876">
        <v>2008</v>
      </c>
      <c r="AV876">
        <v>35</v>
      </c>
      <c r="AW876">
        <v>3</v>
      </c>
      <c r="AX876" t="s">
        <v>74</v>
      </c>
      <c r="AY876" t="s">
        <v>74</v>
      </c>
      <c r="AZ876" t="s">
        <v>74</v>
      </c>
      <c r="BA876" t="s">
        <v>74</v>
      </c>
      <c r="BB876" t="s">
        <v>74</v>
      </c>
      <c r="BC876" t="s">
        <v>74</v>
      </c>
      <c r="BD876" t="s">
        <v>11596</v>
      </c>
      <c r="BE876" t="s">
        <v>11597</v>
      </c>
      <c r="BF876" t="str">
        <f>HYPERLINK("http://dx.doi.org/10.1029/2007GL032739","http://dx.doi.org/10.1029/2007GL032739")</f>
        <v>http://dx.doi.org/10.1029/2007GL032739</v>
      </c>
      <c r="BG876" t="s">
        <v>74</v>
      </c>
      <c r="BH876" t="s">
        <v>74</v>
      </c>
      <c r="BI876">
        <v>5</v>
      </c>
      <c r="BJ876" t="s">
        <v>3093</v>
      </c>
      <c r="BK876" t="s">
        <v>419</v>
      </c>
      <c r="BL876" t="s">
        <v>3094</v>
      </c>
      <c r="BM876" t="s">
        <v>11598</v>
      </c>
      <c r="BN876" t="s">
        <v>74</v>
      </c>
      <c r="BO876" t="s">
        <v>3311</v>
      </c>
      <c r="BP876" t="s">
        <v>74</v>
      </c>
      <c r="BQ876" t="s">
        <v>74</v>
      </c>
      <c r="BR876" t="s">
        <v>101</v>
      </c>
      <c r="BS876" t="s">
        <v>11599</v>
      </c>
      <c r="BT876" t="str">
        <f>HYPERLINK("https%3A%2F%2Fwww.webofscience.com%2Fwos%2Fwoscc%2Ffull-record%2FWOS:000253231800008","View Full Record in Web of Science")</f>
        <v>View Full Record in Web of Science</v>
      </c>
    </row>
    <row r="877" spans="1:72" x14ac:dyDescent="0.15">
      <c r="A877" t="s">
        <v>72</v>
      </c>
      <c r="B877" t="s">
        <v>11600</v>
      </c>
      <c r="C877" t="s">
        <v>74</v>
      </c>
      <c r="D877" t="s">
        <v>74</v>
      </c>
      <c r="E877" t="s">
        <v>74</v>
      </c>
      <c r="F877" t="s">
        <v>11601</v>
      </c>
      <c r="G877" t="s">
        <v>74</v>
      </c>
      <c r="H877" t="s">
        <v>74</v>
      </c>
      <c r="I877" t="s">
        <v>11602</v>
      </c>
      <c r="J877" t="s">
        <v>3295</v>
      </c>
      <c r="K877" t="s">
        <v>74</v>
      </c>
      <c r="L877" t="s">
        <v>74</v>
      </c>
      <c r="M877" t="s">
        <v>78</v>
      </c>
      <c r="N877" t="s">
        <v>2737</v>
      </c>
      <c r="O877" t="s">
        <v>74</v>
      </c>
      <c r="P877" t="s">
        <v>74</v>
      </c>
      <c r="Q877" t="s">
        <v>74</v>
      </c>
      <c r="R877" t="s">
        <v>74</v>
      </c>
      <c r="S877" t="s">
        <v>74</v>
      </c>
      <c r="T877" t="s">
        <v>74</v>
      </c>
      <c r="U877" t="s">
        <v>11603</v>
      </c>
      <c r="V877" t="s">
        <v>11604</v>
      </c>
      <c r="W877" t="s">
        <v>11605</v>
      </c>
      <c r="X877" t="s">
        <v>5585</v>
      </c>
      <c r="Y877" t="s">
        <v>11606</v>
      </c>
      <c r="Z877" t="s">
        <v>11607</v>
      </c>
      <c r="AA877" t="s">
        <v>11608</v>
      </c>
      <c r="AB877" t="s">
        <v>11609</v>
      </c>
      <c r="AC877" t="s">
        <v>74</v>
      </c>
      <c r="AD877" t="s">
        <v>74</v>
      </c>
      <c r="AE877" t="s">
        <v>74</v>
      </c>
      <c r="AF877" t="s">
        <v>74</v>
      </c>
      <c r="AG877">
        <v>29</v>
      </c>
      <c r="AH877">
        <v>19</v>
      </c>
      <c r="AI877">
        <v>22</v>
      </c>
      <c r="AJ877">
        <v>0</v>
      </c>
      <c r="AK877">
        <v>6</v>
      </c>
      <c r="AL877" t="s">
        <v>3280</v>
      </c>
      <c r="AM877" t="s">
        <v>3281</v>
      </c>
      <c r="AN877" t="s">
        <v>3282</v>
      </c>
      <c r="AO877" t="s">
        <v>3304</v>
      </c>
      <c r="AP877" t="s">
        <v>3305</v>
      </c>
      <c r="AQ877" t="s">
        <v>74</v>
      </c>
      <c r="AR877" t="s">
        <v>3306</v>
      </c>
      <c r="AS877" t="s">
        <v>3307</v>
      </c>
      <c r="AT877" t="s">
        <v>11595</v>
      </c>
      <c r="AU877">
        <v>2008</v>
      </c>
      <c r="AV877">
        <v>35</v>
      </c>
      <c r="AW877">
        <v>3</v>
      </c>
      <c r="AX877" t="s">
        <v>74</v>
      </c>
      <c r="AY877" t="s">
        <v>74</v>
      </c>
      <c r="AZ877" t="s">
        <v>74</v>
      </c>
      <c r="BA877" t="s">
        <v>74</v>
      </c>
      <c r="BB877" t="s">
        <v>74</v>
      </c>
      <c r="BC877" t="s">
        <v>74</v>
      </c>
      <c r="BD877" t="s">
        <v>11610</v>
      </c>
      <c r="BE877" t="s">
        <v>11611</v>
      </c>
      <c r="BF877" t="str">
        <f>HYPERLINK("http://dx.doi.org/10.1029/2007GL032489","http://dx.doi.org/10.1029/2007GL032489")</f>
        <v>http://dx.doi.org/10.1029/2007GL032489</v>
      </c>
      <c r="BG877" t="s">
        <v>74</v>
      </c>
      <c r="BH877" t="s">
        <v>74</v>
      </c>
      <c r="BI877">
        <v>6</v>
      </c>
      <c r="BJ877" t="s">
        <v>3093</v>
      </c>
      <c r="BK877" t="s">
        <v>419</v>
      </c>
      <c r="BL877" t="s">
        <v>3094</v>
      </c>
      <c r="BM877" t="s">
        <v>11598</v>
      </c>
      <c r="BN877" t="s">
        <v>74</v>
      </c>
      <c r="BO877" t="s">
        <v>3290</v>
      </c>
      <c r="BP877" t="s">
        <v>74</v>
      </c>
      <c r="BQ877" t="s">
        <v>74</v>
      </c>
      <c r="BR877" t="s">
        <v>101</v>
      </c>
      <c r="BS877" t="s">
        <v>11612</v>
      </c>
      <c r="BT877" t="str">
        <f>HYPERLINK("https%3A%2F%2Fwww.webofscience.com%2Fwos%2Fwoscc%2Ffull-record%2FWOS:000253231800007","View Full Record in Web of Science")</f>
        <v>View Full Record in Web of Science</v>
      </c>
    </row>
    <row r="878" spans="1:72" x14ac:dyDescent="0.15">
      <c r="A878" t="s">
        <v>72</v>
      </c>
      <c r="B878" t="s">
        <v>11613</v>
      </c>
      <c r="C878" t="s">
        <v>74</v>
      </c>
      <c r="D878" t="s">
        <v>74</v>
      </c>
      <c r="E878" t="s">
        <v>74</v>
      </c>
      <c r="F878" t="s">
        <v>11614</v>
      </c>
      <c r="G878" t="s">
        <v>74</v>
      </c>
      <c r="H878" t="s">
        <v>74</v>
      </c>
      <c r="I878" t="s">
        <v>11615</v>
      </c>
      <c r="J878" t="s">
        <v>3540</v>
      </c>
      <c r="K878" t="s">
        <v>74</v>
      </c>
      <c r="L878" t="s">
        <v>74</v>
      </c>
      <c r="M878" t="s">
        <v>78</v>
      </c>
      <c r="N878" t="s">
        <v>3116</v>
      </c>
      <c r="O878" t="s">
        <v>74</v>
      </c>
      <c r="P878" t="s">
        <v>74</v>
      </c>
      <c r="Q878" t="s">
        <v>74</v>
      </c>
      <c r="R878" t="s">
        <v>74</v>
      </c>
      <c r="S878" t="s">
        <v>74</v>
      </c>
      <c r="T878" t="s">
        <v>74</v>
      </c>
      <c r="U878" t="s">
        <v>74</v>
      </c>
      <c r="V878" t="s">
        <v>74</v>
      </c>
      <c r="W878" t="s">
        <v>74</v>
      </c>
      <c r="X878" t="s">
        <v>74</v>
      </c>
      <c r="Y878" t="s">
        <v>74</v>
      </c>
      <c r="Z878" t="s">
        <v>74</v>
      </c>
      <c r="AA878" t="s">
        <v>74</v>
      </c>
      <c r="AB878" t="s">
        <v>74</v>
      </c>
      <c r="AC878" t="s">
        <v>74</v>
      </c>
      <c r="AD878" t="s">
        <v>74</v>
      </c>
      <c r="AE878" t="s">
        <v>74</v>
      </c>
      <c r="AF878" t="s">
        <v>74</v>
      </c>
      <c r="AG878">
        <v>2</v>
      </c>
      <c r="AH878">
        <v>2</v>
      </c>
      <c r="AI878">
        <v>2</v>
      </c>
      <c r="AJ878">
        <v>0</v>
      </c>
      <c r="AK878">
        <v>0</v>
      </c>
      <c r="AL878" t="s">
        <v>3549</v>
      </c>
      <c r="AM878" t="s">
        <v>3550</v>
      </c>
      <c r="AN878" t="s">
        <v>3551</v>
      </c>
      <c r="AO878" t="s">
        <v>3552</v>
      </c>
      <c r="AP878" t="s">
        <v>74</v>
      </c>
      <c r="AQ878" t="s">
        <v>74</v>
      </c>
      <c r="AR878" t="s">
        <v>3540</v>
      </c>
      <c r="AS878" t="s">
        <v>3554</v>
      </c>
      <c r="AT878" t="s">
        <v>11595</v>
      </c>
      <c r="AU878">
        <v>2008</v>
      </c>
      <c r="AV878">
        <v>451</v>
      </c>
      <c r="AW878">
        <v>7180</v>
      </c>
      <c r="AX878" t="s">
        <v>74</v>
      </c>
      <c r="AY878" t="s">
        <v>74</v>
      </c>
      <c r="AZ878" t="s">
        <v>74</v>
      </c>
      <c r="BA878" t="s">
        <v>74</v>
      </c>
      <c r="BB878">
        <v>752</v>
      </c>
      <c r="BC878">
        <v>752</v>
      </c>
      <c r="BD878" t="s">
        <v>74</v>
      </c>
      <c r="BE878" t="s">
        <v>11616</v>
      </c>
      <c r="BF878" t="str">
        <f>HYPERLINK("http://dx.doi.org/10.1038/451752a","http://dx.doi.org/10.1038/451752a")</f>
        <v>http://dx.doi.org/10.1038/451752a</v>
      </c>
      <c r="BG878" t="s">
        <v>74</v>
      </c>
      <c r="BH878" t="s">
        <v>74</v>
      </c>
      <c r="BI878">
        <v>1</v>
      </c>
      <c r="BJ878" t="s">
        <v>3123</v>
      </c>
      <c r="BK878" t="s">
        <v>419</v>
      </c>
      <c r="BL878" t="s">
        <v>3124</v>
      </c>
      <c r="BM878" t="s">
        <v>11617</v>
      </c>
      <c r="BN878">
        <v>18272980</v>
      </c>
      <c r="BO878" t="s">
        <v>3290</v>
      </c>
      <c r="BP878" t="s">
        <v>74</v>
      </c>
      <c r="BQ878" t="s">
        <v>74</v>
      </c>
      <c r="BR878" t="s">
        <v>101</v>
      </c>
      <c r="BS878" t="s">
        <v>11618</v>
      </c>
      <c r="BT878" t="str">
        <f>HYPERLINK("https%3A%2F%2Fwww.webofscience.com%2Fwos%2Fwoscc%2Ffull-record%2FWOS:000253191400007","View Full Record in Web of Science")</f>
        <v>View Full Record in Web of Science</v>
      </c>
    </row>
    <row r="879" spans="1:72" x14ac:dyDescent="0.15">
      <c r="A879" t="s">
        <v>72</v>
      </c>
      <c r="B879" t="s">
        <v>11619</v>
      </c>
      <c r="C879" t="s">
        <v>74</v>
      </c>
      <c r="D879" t="s">
        <v>74</v>
      </c>
      <c r="E879" t="s">
        <v>74</v>
      </c>
      <c r="F879" t="s">
        <v>11620</v>
      </c>
      <c r="G879" t="s">
        <v>74</v>
      </c>
      <c r="H879" t="s">
        <v>74</v>
      </c>
      <c r="I879" t="s">
        <v>11621</v>
      </c>
      <c r="J879" t="s">
        <v>3295</v>
      </c>
      <c r="K879" t="s">
        <v>74</v>
      </c>
      <c r="L879" t="s">
        <v>74</v>
      </c>
      <c r="M879" t="s">
        <v>78</v>
      </c>
      <c r="N879" t="s">
        <v>2737</v>
      </c>
      <c r="O879" t="s">
        <v>74</v>
      </c>
      <c r="P879" t="s">
        <v>74</v>
      </c>
      <c r="Q879" t="s">
        <v>74</v>
      </c>
      <c r="R879" t="s">
        <v>74</v>
      </c>
      <c r="S879" t="s">
        <v>74</v>
      </c>
      <c r="T879" t="s">
        <v>74</v>
      </c>
      <c r="U879" t="s">
        <v>11622</v>
      </c>
      <c r="V879" t="s">
        <v>11623</v>
      </c>
      <c r="W879" t="s">
        <v>11624</v>
      </c>
      <c r="X879" t="s">
        <v>11625</v>
      </c>
      <c r="Y879" t="s">
        <v>11626</v>
      </c>
      <c r="Z879" t="s">
        <v>11627</v>
      </c>
      <c r="AA879" t="s">
        <v>11628</v>
      </c>
      <c r="AB879" t="s">
        <v>11629</v>
      </c>
      <c r="AC879" t="s">
        <v>74</v>
      </c>
      <c r="AD879" t="s">
        <v>74</v>
      </c>
      <c r="AE879" t="s">
        <v>74</v>
      </c>
      <c r="AF879" t="s">
        <v>74</v>
      </c>
      <c r="AG879">
        <v>22</v>
      </c>
      <c r="AH879">
        <v>18</v>
      </c>
      <c r="AI879">
        <v>21</v>
      </c>
      <c r="AJ879">
        <v>1</v>
      </c>
      <c r="AK879">
        <v>12</v>
      </c>
      <c r="AL879" t="s">
        <v>3280</v>
      </c>
      <c r="AM879" t="s">
        <v>3281</v>
      </c>
      <c r="AN879" t="s">
        <v>3282</v>
      </c>
      <c r="AO879" t="s">
        <v>3304</v>
      </c>
      <c r="AP879" t="s">
        <v>74</v>
      </c>
      <c r="AQ879" t="s">
        <v>74</v>
      </c>
      <c r="AR879" t="s">
        <v>3306</v>
      </c>
      <c r="AS879" t="s">
        <v>3307</v>
      </c>
      <c r="AT879" t="s">
        <v>11630</v>
      </c>
      <c r="AU879">
        <v>2008</v>
      </c>
      <c r="AV879">
        <v>35</v>
      </c>
      <c r="AW879">
        <v>3</v>
      </c>
      <c r="AX879" t="s">
        <v>74</v>
      </c>
      <c r="AY879" t="s">
        <v>74</v>
      </c>
      <c r="AZ879" t="s">
        <v>74</v>
      </c>
      <c r="BA879" t="s">
        <v>74</v>
      </c>
      <c r="BB879" t="s">
        <v>74</v>
      </c>
      <c r="BC879" t="s">
        <v>74</v>
      </c>
      <c r="BD879" t="s">
        <v>11631</v>
      </c>
      <c r="BE879" t="s">
        <v>11632</v>
      </c>
      <c r="BF879" t="str">
        <f>HYPERLINK("http://dx.doi.org/10.1029/2007GL030456","http://dx.doi.org/10.1029/2007GL030456")</f>
        <v>http://dx.doi.org/10.1029/2007GL030456</v>
      </c>
      <c r="BG879" t="s">
        <v>74</v>
      </c>
      <c r="BH879" t="s">
        <v>74</v>
      </c>
      <c r="BI879">
        <v>5</v>
      </c>
      <c r="BJ879" t="s">
        <v>3093</v>
      </c>
      <c r="BK879" t="s">
        <v>419</v>
      </c>
      <c r="BL879" t="s">
        <v>3094</v>
      </c>
      <c r="BM879" t="s">
        <v>11633</v>
      </c>
      <c r="BN879" t="s">
        <v>74</v>
      </c>
      <c r="BO879" t="s">
        <v>3290</v>
      </c>
      <c r="BP879" t="s">
        <v>74</v>
      </c>
      <c r="BQ879" t="s">
        <v>74</v>
      </c>
      <c r="BR879" t="s">
        <v>101</v>
      </c>
      <c r="BS879" t="s">
        <v>11634</v>
      </c>
      <c r="BT879" t="str">
        <f>HYPERLINK("https%3A%2F%2Fwww.webofscience.com%2Fwos%2Fwoscc%2Ffull-record%2FWOS:000253231600001","View Full Record in Web of Science")</f>
        <v>View Full Record in Web of Science</v>
      </c>
    </row>
    <row r="880" spans="1:72" x14ac:dyDescent="0.15">
      <c r="A880" t="s">
        <v>72</v>
      </c>
      <c r="B880" t="s">
        <v>11635</v>
      </c>
      <c r="C880" t="s">
        <v>74</v>
      </c>
      <c r="D880" t="s">
        <v>74</v>
      </c>
      <c r="E880" t="s">
        <v>74</v>
      </c>
      <c r="F880" t="s">
        <v>11636</v>
      </c>
      <c r="G880" t="s">
        <v>74</v>
      </c>
      <c r="H880" t="s">
        <v>74</v>
      </c>
      <c r="I880" t="s">
        <v>11637</v>
      </c>
      <c r="J880" t="s">
        <v>3432</v>
      </c>
      <c r="K880" t="s">
        <v>74</v>
      </c>
      <c r="L880" t="s">
        <v>74</v>
      </c>
      <c r="M880" t="s">
        <v>78</v>
      </c>
      <c r="N880" t="s">
        <v>2737</v>
      </c>
      <c r="O880" t="s">
        <v>74</v>
      </c>
      <c r="P880" t="s">
        <v>74</v>
      </c>
      <c r="Q880" t="s">
        <v>74</v>
      </c>
      <c r="R880" t="s">
        <v>74</v>
      </c>
      <c r="S880" t="s">
        <v>74</v>
      </c>
      <c r="T880" t="s">
        <v>74</v>
      </c>
      <c r="U880" t="s">
        <v>11638</v>
      </c>
      <c r="V880" t="s">
        <v>11639</v>
      </c>
      <c r="W880" t="s">
        <v>11640</v>
      </c>
      <c r="X880" t="s">
        <v>11641</v>
      </c>
      <c r="Y880" t="s">
        <v>11642</v>
      </c>
      <c r="Z880" t="s">
        <v>74</v>
      </c>
      <c r="AA880" t="s">
        <v>11643</v>
      </c>
      <c r="AB880" t="s">
        <v>74</v>
      </c>
      <c r="AC880" t="s">
        <v>74</v>
      </c>
      <c r="AD880" t="s">
        <v>74</v>
      </c>
      <c r="AE880" t="s">
        <v>74</v>
      </c>
      <c r="AF880" t="s">
        <v>74</v>
      </c>
      <c r="AG880">
        <v>41</v>
      </c>
      <c r="AH880">
        <v>57</v>
      </c>
      <c r="AI880">
        <v>68</v>
      </c>
      <c r="AJ880">
        <v>2</v>
      </c>
      <c r="AK880">
        <v>23</v>
      </c>
      <c r="AL880" t="s">
        <v>3280</v>
      </c>
      <c r="AM880" t="s">
        <v>3281</v>
      </c>
      <c r="AN880" t="s">
        <v>3282</v>
      </c>
      <c r="AO880" t="s">
        <v>3439</v>
      </c>
      <c r="AP880" t="s">
        <v>3440</v>
      </c>
      <c r="AQ880" t="s">
        <v>74</v>
      </c>
      <c r="AR880" t="s">
        <v>3441</v>
      </c>
      <c r="AS880" t="s">
        <v>3442</v>
      </c>
      <c r="AT880" t="s">
        <v>11630</v>
      </c>
      <c r="AU880">
        <v>2008</v>
      </c>
      <c r="AV880">
        <v>113</v>
      </c>
      <c r="AW880" t="s">
        <v>11418</v>
      </c>
      <c r="AX880" t="s">
        <v>74</v>
      </c>
      <c r="AY880" t="s">
        <v>74</v>
      </c>
      <c r="AZ880" t="s">
        <v>74</v>
      </c>
      <c r="BA880" t="s">
        <v>74</v>
      </c>
      <c r="BB880" t="s">
        <v>74</v>
      </c>
      <c r="BC880" t="s">
        <v>74</v>
      </c>
      <c r="BD880" t="s">
        <v>11644</v>
      </c>
      <c r="BE880" t="s">
        <v>11645</v>
      </c>
      <c r="BF880" t="str">
        <f>HYPERLINK("http://dx.doi.org/10.1029/2006JC003965","http://dx.doi.org/10.1029/2006JC003965")</f>
        <v>http://dx.doi.org/10.1029/2006JC003965</v>
      </c>
      <c r="BG880" t="s">
        <v>74</v>
      </c>
      <c r="BH880" t="s">
        <v>74</v>
      </c>
      <c r="BI880">
        <v>11</v>
      </c>
      <c r="BJ880" t="s">
        <v>3447</v>
      </c>
      <c r="BK880" t="s">
        <v>419</v>
      </c>
      <c r="BL880" t="s">
        <v>3447</v>
      </c>
      <c r="BM880" t="s">
        <v>11646</v>
      </c>
      <c r="BN880" t="s">
        <v>74</v>
      </c>
      <c r="BO880" t="s">
        <v>74</v>
      </c>
      <c r="BP880" t="s">
        <v>74</v>
      </c>
      <c r="BQ880" t="s">
        <v>74</v>
      </c>
      <c r="BR880" t="s">
        <v>101</v>
      </c>
      <c r="BS880" t="s">
        <v>11647</v>
      </c>
      <c r="BT880" t="str">
        <f>HYPERLINK("https%3A%2F%2Fwww.webofscience.com%2Fwos%2Fwoscc%2Ffull-record%2FWOS:000253235500002","View Full Record in Web of Science")</f>
        <v>View Full Record in Web of Science</v>
      </c>
    </row>
    <row r="881" spans="1:72" x14ac:dyDescent="0.15">
      <c r="A881" t="s">
        <v>72</v>
      </c>
      <c r="B881" t="s">
        <v>11648</v>
      </c>
      <c r="C881" t="s">
        <v>74</v>
      </c>
      <c r="D881" t="s">
        <v>74</v>
      </c>
      <c r="E881" t="s">
        <v>74</v>
      </c>
      <c r="F881" t="s">
        <v>11649</v>
      </c>
      <c r="G881" t="s">
        <v>74</v>
      </c>
      <c r="H881" t="s">
        <v>74</v>
      </c>
      <c r="I881" t="s">
        <v>11650</v>
      </c>
      <c r="J881" t="s">
        <v>3432</v>
      </c>
      <c r="K881" t="s">
        <v>74</v>
      </c>
      <c r="L881" t="s">
        <v>74</v>
      </c>
      <c r="M881" t="s">
        <v>78</v>
      </c>
      <c r="N881" t="s">
        <v>2737</v>
      </c>
      <c r="O881" t="s">
        <v>74</v>
      </c>
      <c r="P881" t="s">
        <v>74</v>
      </c>
      <c r="Q881" t="s">
        <v>74</v>
      </c>
      <c r="R881" t="s">
        <v>74</v>
      </c>
      <c r="S881" t="s">
        <v>74</v>
      </c>
      <c r="T881" t="s">
        <v>74</v>
      </c>
      <c r="U881" t="s">
        <v>11651</v>
      </c>
      <c r="V881" t="s">
        <v>11652</v>
      </c>
      <c r="W881" t="s">
        <v>11653</v>
      </c>
      <c r="X881" t="s">
        <v>11654</v>
      </c>
      <c r="Y881" t="s">
        <v>11655</v>
      </c>
      <c r="Z881" t="s">
        <v>74</v>
      </c>
      <c r="AA881" t="s">
        <v>11656</v>
      </c>
      <c r="AB881" t="s">
        <v>74</v>
      </c>
      <c r="AC881" t="s">
        <v>4867</v>
      </c>
      <c r="AD881" t="s">
        <v>2792</v>
      </c>
      <c r="AE881" t="s">
        <v>74</v>
      </c>
      <c r="AF881" t="s">
        <v>74</v>
      </c>
      <c r="AG881">
        <v>85</v>
      </c>
      <c r="AH881">
        <v>75</v>
      </c>
      <c r="AI881">
        <v>85</v>
      </c>
      <c r="AJ881">
        <v>2</v>
      </c>
      <c r="AK881">
        <v>16</v>
      </c>
      <c r="AL881" t="s">
        <v>3280</v>
      </c>
      <c r="AM881" t="s">
        <v>3281</v>
      </c>
      <c r="AN881" t="s">
        <v>3282</v>
      </c>
      <c r="AO881" t="s">
        <v>3439</v>
      </c>
      <c r="AP881" t="s">
        <v>3440</v>
      </c>
      <c r="AQ881" t="s">
        <v>74</v>
      </c>
      <c r="AR881" t="s">
        <v>3441</v>
      </c>
      <c r="AS881" t="s">
        <v>3442</v>
      </c>
      <c r="AT881" t="s">
        <v>11630</v>
      </c>
      <c r="AU881">
        <v>2008</v>
      </c>
      <c r="AV881">
        <v>113</v>
      </c>
      <c r="AW881" t="s">
        <v>11418</v>
      </c>
      <c r="AX881" t="s">
        <v>74</v>
      </c>
      <c r="AY881" t="s">
        <v>74</v>
      </c>
      <c r="AZ881" t="s">
        <v>74</v>
      </c>
      <c r="BA881" t="s">
        <v>74</v>
      </c>
      <c r="BB881" t="s">
        <v>74</v>
      </c>
      <c r="BC881" t="s">
        <v>74</v>
      </c>
      <c r="BD881" t="s">
        <v>11657</v>
      </c>
      <c r="BE881" t="s">
        <v>11658</v>
      </c>
      <c r="BF881" t="str">
        <f>HYPERLINK("http://dx.doi.org/10.1029/2006JC004085","http://dx.doi.org/10.1029/2006JC004085")</f>
        <v>http://dx.doi.org/10.1029/2006JC004085</v>
      </c>
      <c r="BG881" t="s">
        <v>74</v>
      </c>
      <c r="BH881" t="s">
        <v>74</v>
      </c>
      <c r="BI881">
        <v>18</v>
      </c>
      <c r="BJ881" t="s">
        <v>3447</v>
      </c>
      <c r="BK881" t="s">
        <v>419</v>
      </c>
      <c r="BL881" t="s">
        <v>3447</v>
      </c>
      <c r="BM881" t="s">
        <v>11646</v>
      </c>
      <c r="BN881" t="s">
        <v>74</v>
      </c>
      <c r="BO881" t="s">
        <v>3290</v>
      </c>
      <c r="BP881" t="s">
        <v>74</v>
      </c>
      <c r="BQ881" t="s">
        <v>74</v>
      </c>
      <c r="BR881" t="s">
        <v>101</v>
      </c>
      <c r="BS881" t="s">
        <v>11659</v>
      </c>
      <c r="BT881" t="str">
        <f>HYPERLINK("https%3A%2F%2Fwww.webofscience.com%2Fwos%2Fwoscc%2Ffull-record%2FWOS:000253235500003","View Full Record in Web of Science")</f>
        <v>View Full Record in Web of Science</v>
      </c>
    </row>
    <row r="882" spans="1:72" x14ac:dyDescent="0.15">
      <c r="A882" t="s">
        <v>72</v>
      </c>
      <c r="B882" t="s">
        <v>11660</v>
      </c>
      <c r="C882" t="s">
        <v>74</v>
      </c>
      <c r="D882" t="s">
        <v>74</v>
      </c>
      <c r="E882" t="s">
        <v>74</v>
      </c>
      <c r="F882" t="s">
        <v>11661</v>
      </c>
      <c r="G882" t="s">
        <v>74</v>
      </c>
      <c r="H882" t="s">
        <v>74</v>
      </c>
      <c r="I882" t="s">
        <v>11662</v>
      </c>
      <c r="J882" t="s">
        <v>7555</v>
      </c>
      <c r="K882" t="s">
        <v>74</v>
      </c>
      <c r="L882" t="s">
        <v>74</v>
      </c>
      <c r="M882" t="s">
        <v>78</v>
      </c>
      <c r="N882" t="s">
        <v>2958</v>
      </c>
      <c r="O882" t="s">
        <v>74</v>
      </c>
      <c r="P882" t="s">
        <v>74</v>
      </c>
      <c r="Q882" t="s">
        <v>74</v>
      </c>
      <c r="R882" t="s">
        <v>74</v>
      </c>
      <c r="S882" t="s">
        <v>74</v>
      </c>
      <c r="T882" t="s">
        <v>11663</v>
      </c>
      <c r="U882" t="s">
        <v>11664</v>
      </c>
      <c r="V882" t="s">
        <v>11665</v>
      </c>
      <c r="W882" t="s">
        <v>11666</v>
      </c>
      <c r="X882" t="s">
        <v>11667</v>
      </c>
      <c r="Y882" t="s">
        <v>11668</v>
      </c>
      <c r="Z882" t="s">
        <v>11669</v>
      </c>
      <c r="AA882" t="s">
        <v>74</v>
      </c>
      <c r="AB882" t="s">
        <v>74</v>
      </c>
      <c r="AC882" t="s">
        <v>74</v>
      </c>
      <c r="AD882" t="s">
        <v>74</v>
      </c>
      <c r="AE882" t="s">
        <v>74</v>
      </c>
      <c r="AF882" t="s">
        <v>74</v>
      </c>
      <c r="AG882">
        <v>465</v>
      </c>
      <c r="AH882">
        <v>105</v>
      </c>
      <c r="AI882">
        <v>118</v>
      </c>
      <c r="AJ882">
        <v>2</v>
      </c>
      <c r="AK882">
        <v>91</v>
      </c>
      <c r="AL882" t="s">
        <v>3933</v>
      </c>
      <c r="AM882" t="s">
        <v>3258</v>
      </c>
      <c r="AN882" t="s">
        <v>3934</v>
      </c>
      <c r="AO882" t="s">
        <v>7563</v>
      </c>
      <c r="AP882" t="s">
        <v>7564</v>
      </c>
      <c r="AQ882" t="s">
        <v>74</v>
      </c>
      <c r="AR882" t="s">
        <v>7565</v>
      </c>
      <c r="AS882" t="s">
        <v>7566</v>
      </c>
      <c r="AT882" t="s">
        <v>11630</v>
      </c>
      <c r="AU882">
        <v>2008</v>
      </c>
      <c r="AV882">
        <v>258</v>
      </c>
      <c r="AW882" t="s">
        <v>5676</v>
      </c>
      <c r="AX882" t="s">
        <v>74</v>
      </c>
      <c r="AY882" t="s">
        <v>74</v>
      </c>
      <c r="AZ882" t="s">
        <v>74</v>
      </c>
      <c r="BA882" t="s">
        <v>74</v>
      </c>
      <c r="BB882">
        <v>89</v>
      </c>
      <c r="BC882">
        <v>129</v>
      </c>
      <c r="BD882" t="s">
        <v>74</v>
      </c>
      <c r="BE882" t="s">
        <v>11670</v>
      </c>
      <c r="BF882" t="str">
        <f>HYPERLINK("http://dx.doi.org/10.1016/j.palaeo.2007.09.021","http://dx.doi.org/10.1016/j.palaeo.2007.09.021")</f>
        <v>http://dx.doi.org/10.1016/j.palaeo.2007.09.021</v>
      </c>
      <c r="BG882" t="s">
        <v>74</v>
      </c>
      <c r="BH882" t="s">
        <v>74</v>
      </c>
      <c r="BI882">
        <v>41</v>
      </c>
      <c r="BJ882" t="s">
        <v>7569</v>
      </c>
      <c r="BK882" t="s">
        <v>419</v>
      </c>
      <c r="BL882" t="s">
        <v>7570</v>
      </c>
      <c r="BM882" t="s">
        <v>11671</v>
      </c>
      <c r="BN882" t="s">
        <v>74</v>
      </c>
      <c r="BO882" t="s">
        <v>74</v>
      </c>
      <c r="BP882" t="s">
        <v>74</v>
      </c>
      <c r="BQ882" t="s">
        <v>74</v>
      </c>
      <c r="BR882" t="s">
        <v>101</v>
      </c>
      <c r="BS882" t="s">
        <v>11672</v>
      </c>
      <c r="BT882" t="str">
        <f>HYPERLINK("https%3A%2F%2Fwww.webofscience.com%2Fwos%2Fwoscc%2Ffull-record%2FWOS:000254149000005","View Full Record in Web of Science")</f>
        <v>View Full Record in Web of Science</v>
      </c>
    </row>
    <row r="883" spans="1:72" x14ac:dyDescent="0.15">
      <c r="A883" t="s">
        <v>72</v>
      </c>
      <c r="B883" t="s">
        <v>11673</v>
      </c>
      <c r="C883" t="s">
        <v>74</v>
      </c>
      <c r="D883" t="s">
        <v>74</v>
      </c>
      <c r="E883" t="s">
        <v>74</v>
      </c>
      <c r="F883" t="s">
        <v>11674</v>
      </c>
      <c r="G883" t="s">
        <v>74</v>
      </c>
      <c r="H883" t="s">
        <v>74</v>
      </c>
      <c r="I883" t="s">
        <v>11675</v>
      </c>
      <c r="J883" t="s">
        <v>11676</v>
      </c>
      <c r="K883" t="s">
        <v>74</v>
      </c>
      <c r="L883" t="s">
        <v>74</v>
      </c>
      <c r="M883" t="s">
        <v>78</v>
      </c>
      <c r="N883" t="s">
        <v>2737</v>
      </c>
      <c r="O883" t="s">
        <v>74</v>
      </c>
      <c r="P883" t="s">
        <v>74</v>
      </c>
      <c r="Q883" t="s">
        <v>74</v>
      </c>
      <c r="R883" t="s">
        <v>74</v>
      </c>
      <c r="S883" t="s">
        <v>74</v>
      </c>
      <c r="T883" t="s">
        <v>11677</v>
      </c>
      <c r="U883" t="s">
        <v>11678</v>
      </c>
      <c r="V883" t="s">
        <v>11679</v>
      </c>
      <c r="W883" t="s">
        <v>11680</v>
      </c>
      <c r="X883" t="s">
        <v>11681</v>
      </c>
      <c r="Y883" t="s">
        <v>11682</v>
      </c>
      <c r="Z883" t="s">
        <v>11683</v>
      </c>
      <c r="AA883" t="s">
        <v>11684</v>
      </c>
      <c r="AB883" t="s">
        <v>11685</v>
      </c>
      <c r="AC883" t="s">
        <v>74</v>
      </c>
      <c r="AD883" t="s">
        <v>74</v>
      </c>
      <c r="AE883" t="s">
        <v>74</v>
      </c>
      <c r="AF883" t="s">
        <v>74</v>
      </c>
      <c r="AG883">
        <v>41</v>
      </c>
      <c r="AH883">
        <v>53</v>
      </c>
      <c r="AI883">
        <v>58</v>
      </c>
      <c r="AJ883">
        <v>3</v>
      </c>
      <c r="AK883">
        <v>35</v>
      </c>
      <c r="AL883" t="s">
        <v>3933</v>
      </c>
      <c r="AM883" t="s">
        <v>3258</v>
      </c>
      <c r="AN883" t="s">
        <v>3934</v>
      </c>
      <c r="AO883" t="s">
        <v>11686</v>
      </c>
      <c r="AP883" t="s">
        <v>11687</v>
      </c>
      <c r="AQ883" t="s">
        <v>74</v>
      </c>
      <c r="AR883" t="s">
        <v>11688</v>
      </c>
      <c r="AS883" t="s">
        <v>11689</v>
      </c>
      <c r="AT883" t="s">
        <v>11690</v>
      </c>
      <c r="AU883">
        <v>2008</v>
      </c>
      <c r="AV883">
        <v>608</v>
      </c>
      <c r="AW883">
        <v>2</v>
      </c>
      <c r="AX883" t="s">
        <v>74</v>
      </c>
      <c r="AY883" t="s">
        <v>74</v>
      </c>
      <c r="AZ883" t="s">
        <v>74</v>
      </c>
      <c r="BA883" t="s">
        <v>74</v>
      </c>
      <c r="BB883">
        <v>147</v>
      </c>
      <c r="BC883">
        <v>157</v>
      </c>
      <c r="BD883" t="s">
        <v>74</v>
      </c>
      <c r="BE883" t="s">
        <v>11691</v>
      </c>
      <c r="BF883" t="str">
        <f>HYPERLINK("http://dx.doi.org/10.1016/j.aca.2007.12.016","http://dx.doi.org/10.1016/j.aca.2007.12.016")</f>
        <v>http://dx.doi.org/10.1016/j.aca.2007.12.016</v>
      </c>
      <c r="BG883" t="s">
        <v>74</v>
      </c>
      <c r="BH883" t="s">
        <v>74</v>
      </c>
      <c r="BI883">
        <v>11</v>
      </c>
      <c r="BJ883" t="s">
        <v>9989</v>
      </c>
      <c r="BK883" t="s">
        <v>419</v>
      </c>
      <c r="BL883" t="s">
        <v>3834</v>
      </c>
      <c r="BM883" t="s">
        <v>11692</v>
      </c>
      <c r="BN883">
        <v>18215646</v>
      </c>
      <c r="BO883" t="s">
        <v>3725</v>
      </c>
      <c r="BP883" t="s">
        <v>74</v>
      </c>
      <c r="BQ883" t="s">
        <v>74</v>
      </c>
      <c r="BR883" t="s">
        <v>101</v>
      </c>
      <c r="BS883" t="s">
        <v>11693</v>
      </c>
      <c r="BT883" t="str">
        <f>HYPERLINK("https%3A%2F%2Fwww.webofscience.com%2Fwos%2Fwoscc%2Ffull-record%2FWOS:000253243800003","View Full Record in Web of Science")</f>
        <v>View Full Record in Web of Science</v>
      </c>
    </row>
    <row r="884" spans="1:72" x14ac:dyDescent="0.15">
      <c r="A884" t="s">
        <v>72</v>
      </c>
      <c r="B884" t="s">
        <v>11694</v>
      </c>
      <c r="C884" t="s">
        <v>74</v>
      </c>
      <c r="D884" t="s">
        <v>74</v>
      </c>
      <c r="E884" t="s">
        <v>74</v>
      </c>
      <c r="F884" t="s">
        <v>11695</v>
      </c>
      <c r="G884" t="s">
        <v>74</v>
      </c>
      <c r="H884" t="s">
        <v>74</v>
      </c>
      <c r="I884" t="s">
        <v>11696</v>
      </c>
      <c r="J884" t="s">
        <v>11697</v>
      </c>
      <c r="K884" t="s">
        <v>74</v>
      </c>
      <c r="L884" t="s">
        <v>74</v>
      </c>
      <c r="M884" t="s">
        <v>78</v>
      </c>
      <c r="N884" t="s">
        <v>2737</v>
      </c>
      <c r="O884" t="s">
        <v>74</v>
      </c>
      <c r="P884" t="s">
        <v>74</v>
      </c>
      <c r="Q884" t="s">
        <v>74</v>
      </c>
      <c r="R884" t="s">
        <v>74</v>
      </c>
      <c r="S884" t="s">
        <v>74</v>
      </c>
      <c r="T884" t="s">
        <v>11698</v>
      </c>
      <c r="U884" t="s">
        <v>11699</v>
      </c>
      <c r="V884" t="s">
        <v>11700</v>
      </c>
      <c r="W884" t="s">
        <v>11701</v>
      </c>
      <c r="X884" t="s">
        <v>11702</v>
      </c>
      <c r="Y884" t="s">
        <v>11703</v>
      </c>
      <c r="Z884" t="s">
        <v>74</v>
      </c>
      <c r="AA884" t="s">
        <v>11704</v>
      </c>
      <c r="AB884" t="s">
        <v>11705</v>
      </c>
      <c r="AC884" t="s">
        <v>74</v>
      </c>
      <c r="AD884" t="s">
        <v>74</v>
      </c>
      <c r="AE884" t="s">
        <v>74</v>
      </c>
      <c r="AF884" t="s">
        <v>74</v>
      </c>
      <c r="AG884">
        <v>65</v>
      </c>
      <c r="AH884">
        <v>44</v>
      </c>
      <c r="AI884">
        <v>47</v>
      </c>
      <c r="AJ884">
        <v>0</v>
      </c>
      <c r="AK884">
        <v>5</v>
      </c>
      <c r="AL884" t="s">
        <v>6248</v>
      </c>
      <c r="AM884" t="s">
        <v>6249</v>
      </c>
      <c r="AN884" t="s">
        <v>6250</v>
      </c>
      <c r="AO884" t="s">
        <v>11706</v>
      </c>
      <c r="AP884" t="s">
        <v>11707</v>
      </c>
      <c r="AQ884" t="s">
        <v>74</v>
      </c>
      <c r="AR884" t="s">
        <v>11708</v>
      </c>
      <c r="AS884" t="s">
        <v>11709</v>
      </c>
      <c r="AT884" t="s">
        <v>11710</v>
      </c>
      <c r="AU884">
        <v>2008</v>
      </c>
      <c r="AV884">
        <v>674</v>
      </c>
      <c r="AW884">
        <v>1</v>
      </c>
      <c r="AX884" t="s">
        <v>74</v>
      </c>
      <c r="AY884" t="s">
        <v>74</v>
      </c>
      <c r="AZ884" t="s">
        <v>74</v>
      </c>
      <c r="BA884" t="s">
        <v>74</v>
      </c>
      <c r="BB884">
        <v>357</v>
      </c>
      <c r="BC884">
        <v>370</v>
      </c>
      <c r="BD884" t="s">
        <v>74</v>
      </c>
      <c r="BE884" t="s">
        <v>11711</v>
      </c>
      <c r="BF884" t="str">
        <f>HYPERLINK("http://dx.doi.org/10.1086/524920","http://dx.doi.org/10.1086/524920")</f>
        <v>http://dx.doi.org/10.1086/524920</v>
      </c>
      <c r="BG884" t="s">
        <v>74</v>
      </c>
      <c r="BH884" t="s">
        <v>74</v>
      </c>
      <c r="BI884">
        <v>14</v>
      </c>
      <c r="BJ884" t="s">
        <v>3794</v>
      </c>
      <c r="BK884" t="s">
        <v>419</v>
      </c>
      <c r="BL884" t="s">
        <v>3794</v>
      </c>
      <c r="BM884" t="s">
        <v>11712</v>
      </c>
      <c r="BN884" t="s">
        <v>74</v>
      </c>
      <c r="BO884" t="s">
        <v>11713</v>
      </c>
      <c r="BP884" t="s">
        <v>74</v>
      </c>
      <c r="BQ884" t="s">
        <v>74</v>
      </c>
      <c r="BR884" t="s">
        <v>101</v>
      </c>
      <c r="BS884" t="s">
        <v>11714</v>
      </c>
      <c r="BT884" t="str">
        <f>HYPERLINK("https%3A%2F%2Fwww.webofscience.com%2Fwos%2Fwoscc%2Ffull-record%2FWOS:000253454400032","View Full Record in Web of Science")</f>
        <v>View Full Record in Web of Science</v>
      </c>
    </row>
    <row r="885" spans="1:72" x14ac:dyDescent="0.15">
      <c r="A885" t="s">
        <v>72</v>
      </c>
      <c r="B885" t="s">
        <v>11715</v>
      </c>
      <c r="C885" t="s">
        <v>74</v>
      </c>
      <c r="D885" t="s">
        <v>74</v>
      </c>
      <c r="E885" t="s">
        <v>74</v>
      </c>
      <c r="F885" t="s">
        <v>11716</v>
      </c>
      <c r="G885" t="s">
        <v>74</v>
      </c>
      <c r="H885" t="s">
        <v>74</v>
      </c>
      <c r="I885" t="s">
        <v>11717</v>
      </c>
      <c r="J885" t="s">
        <v>11718</v>
      </c>
      <c r="K885" t="s">
        <v>74</v>
      </c>
      <c r="L885" t="s">
        <v>74</v>
      </c>
      <c r="M885" t="s">
        <v>78</v>
      </c>
      <c r="N885" t="s">
        <v>2737</v>
      </c>
      <c r="O885" t="s">
        <v>74</v>
      </c>
      <c r="P885" t="s">
        <v>74</v>
      </c>
      <c r="Q885" t="s">
        <v>74</v>
      </c>
      <c r="R885" t="s">
        <v>74</v>
      </c>
      <c r="S885" t="s">
        <v>74</v>
      </c>
      <c r="T885" t="s">
        <v>11719</v>
      </c>
      <c r="U885" t="s">
        <v>11720</v>
      </c>
      <c r="V885" t="s">
        <v>11721</v>
      </c>
      <c r="W885" t="s">
        <v>11722</v>
      </c>
      <c r="X885" t="s">
        <v>11723</v>
      </c>
      <c r="Y885" t="s">
        <v>11724</v>
      </c>
      <c r="Z885" t="s">
        <v>11725</v>
      </c>
      <c r="AA885" t="s">
        <v>11726</v>
      </c>
      <c r="AB885" t="s">
        <v>11727</v>
      </c>
      <c r="AC885" t="s">
        <v>74</v>
      </c>
      <c r="AD885" t="s">
        <v>74</v>
      </c>
      <c r="AE885" t="s">
        <v>74</v>
      </c>
      <c r="AF885" t="s">
        <v>74</v>
      </c>
      <c r="AG885">
        <v>51</v>
      </c>
      <c r="AH885">
        <v>3</v>
      </c>
      <c r="AI885">
        <v>4</v>
      </c>
      <c r="AJ885">
        <v>0</v>
      </c>
      <c r="AK885">
        <v>21</v>
      </c>
      <c r="AL885" t="s">
        <v>3933</v>
      </c>
      <c r="AM885" t="s">
        <v>3258</v>
      </c>
      <c r="AN885" t="s">
        <v>3934</v>
      </c>
      <c r="AO885" t="s">
        <v>11728</v>
      </c>
      <c r="AP885" t="s">
        <v>11729</v>
      </c>
      <c r="AQ885" t="s">
        <v>74</v>
      </c>
      <c r="AR885" t="s">
        <v>11730</v>
      </c>
      <c r="AS885" t="s">
        <v>11731</v>
      </c>
      <c r="AT885" t="s">
        <v>11710</v>
      </c>
      <c r="AU885">
        <v>2008</v>
      </c>
      <c r="AV885">
        <v>210</v>
      </c>
      <c r="AW885">
        <v>4</v>
      </c>
      <c r="AX885" t="s">
        <v>74</v>
      </c>
      <c r="AY885" t="s">
        <v>74</v>
      </c>
      <c r="AZ885" t="s">
        <v>74</v>
      </c>
      <c r="BA885" t="s">
        <v>74</v>
      </c>
      <c r="BB885">
        <v>414</v>
      </c>
      <c r="BC885">
        <v>430</v>
      </c>
      <c r="BD885" t="s">
        <v>74</v>
      </c>
      <c r="BE885" t="s">
        <v>11732</v>
      </c>
      <c r="BF885" t="str">
        <f>HYPERLINK("http://dx.doi.org/10.1016/j.ecolmodel.2007.08.006","http://dx.doi.org/10.1016/j.ecolmodel.2007.08.006")</f>
        <v>http://dx.doi.org/10.1016/j.ecolmodel.2007.08.006</v>
      </c>
      <c r="BG885" t="s">
        <v>74</v>
      </c>
      <c r="BH885" t="s">
        <v>74</v>
      </c>
      <c r="BI885">
        <v>17</v>
      </c>
      <c r="BJ885" t="s">
        <v>8600</v>
      </c>
      <c r="BK885" t="s">
        <v>419</v>
      </c>
      <c r="BL885" t="s">
        <v>2972</v>
      </c>
      <c r="BM885" t="s">
        <v>11733</v>
      </c>
      <c r="BN885" t="s">
        <v>74</v>
      </c>
      <c r="BO885" t="s">
        <v>74</v>
      </c>
      <c r="BP885" t="s">
        <v>74</v>
      </c>
      <c r="BQ885" t="s">
        <v>74</v>
      </c>
      <c r="BR885" t="s">
        <v>101</v>
      </c>
      <c r="BS885" t="s">
        <v>11734</v>
      </c>
      <c r="BT885" t="str">
        <f>HYPERLINK("https%3A%2F%2Fwww.webofscience.com%2Fwos%2Fwoscc%2Ffull-record%2FWOS:000253111500004","View Full Record in Web of Science")</f>
        <v>View Full Record in Web of Science</v>
      </c>
    </row>
    <row r="886" spans="1:72" x14ac:dyDescent="0.15">
      <c r="A886" t="s">
        <v>72</v>
      </c>
      <c r="B886" t="s">
        <v>11735</v>
      </c>
      <c r="C886" t="s">
        <v>74</v>
      </c>
      <c r="D886" t="s">
        <v>74</v>
      </c>
      <c r="E886" t="s">
        <v>74</v>
      </c>
      <c r="F886" t="s">
        <v>11736</v>
      </c>
      <c r="G886" t="s">
        <v>74</v>
      </c>
      <c r="H886" t="s">
        <v>74</v>
      </c>
      <c r="I886" t="s">
        <v>11737</v>
      </c>
      <c r="J886" t="s">
        <v>11738</v>
      </c>
      <c r="K886" t="s">
        <v>74</v>
      </c>
      <c r="L886" t="s">
        <v>74</v>
      </c>
      <c r="M886" t="s">
        <v>78</v>
      </c>
      <c r="N886" t="s">
        <v>2737</v>
      </c>
      <c r="O886" t="s">
        <v>74</v>
      </c>
      <c r="P886" t="s">
        <v>74</v>
      </c>
      <c r="Q886" t="s">
        <v>74</v>
      </c>
      <c r="R886" t="s">
        <v>74</v>
      </c>
      <c r="S886" t="s">
        <v>74</v>
      </c>
      <c r="T886" t="s">
        <v>11739</v>
      </c>
      <c r="U886" t="s">
        <v>11740</v>
      </c>
      <c r="V886" t="s">
        <v>11741</v>
      </c>
      <c r="W886" t="s">
        <v>11742</v>
      </c>
      <c r="X886" t="s">
        <v>11743</v>
      </c>
      <c r="Y886" t="s">
        <v>11744</v>
      </c>
      <c r="Z886" t="s">
        <v>11745</v>
      </c>
      <c r="AA886" t="s">
        <v>74</v>
      </c>
      <c r="AB886" t="s">
        <v>74</v>
      </c>
      <c r="AC886" t="s">
        <v>74</v>
      </c>
      <c r="AD886" t="s">
        <v>74</v>
      </c>
      <c r="AE886" t="s">
        <v>74</v>
      </c>
      <c r="AF886" t="s">
        <v>74</v>
      </c>
      <c r="AG886">
        <v>32</v>
      </c>
      <c r="AH886">
        <v>1</v>
      </c>
      <c r="AI886">
        <v>4</v>
      </c>
      <c r="AJ886">
        <v>1</v>
      </c>
      <c r="AK886">
        <v>4</v>
      </c>
      <c r="AL886" t="s">
        <v>3979</v>
      </c>
      <c r="AM886" t="s">
        <v>2747</v>
      </c>
      <c r="AN886" t="s">
        <v>4520</v>
      </c>
      <c r="AO886" t="s">
        <v>11746</v>
      </c>
      <c r="AP886" t="s">
        <v>11747</v>
      </c>
      <c r="AQ886" t="s">
        <v>74</v>
      </c>
      <c r="AR886" t="s">
        <v>11748</v>
      </c>
      <c r="AS886" t="s">
        <v>11749</v>
      </c>
      <c r="AT886" t="s">
        <v>11710</v>
      </c>
      <c r="AU886">
        <v>2008</v>
      </c>
      <c r="AV886">
        <v>18</v>
      </c>
      <c r="AW886">
        <v>2</v>
      </c>
      <c r="AX886" t="s">
        <v>74</v>
      </c>
      <c r="AY886" t="s">
        <v>74</v>
      </c>
      <c r="AZ886" t="s">
        <v>74</v>
      </c>
      <c r="BA886" t="s">
        <v>74</v>
      </c>
      <c r="BB886">
        <v>173</v>
      </c>
      <c r="BC886">
        <v>180</v>
      </c>
      <c r="BD886" t="s">
        <v>74</v>
      </c>
      <c r="BE886" t="s">
        <v>11750</v>
      </c>
      <c r="BF886" t="str">
        <f>HYPERLINK("http://dx.doi.org/10.1016/j.pnsc.2007.07.014","http://dx.doi.org/10.1016/j.pnsc.2007.07.014")</f>
        <v>http://dx.doi.org/10.1016/j.pnsc.2007.07.014</v>
      </c>
      <c r="BG886" t="s">
        <v>74</v>
      </c>
      <c r="BH886" t="s">
        <v>74</v>
      </c>
      <c r="BI886">
        <v>8</v>
      </c>
      <c r="BJ886" t="s">
        <v>11751</v>
      </c>
      <c r="BK886" t="s">
        <v>419</v>
      </c>
      <c r="BL886" t="s">
        <v>11752</v>
      </c>
      <c r="BM886" t="s">
        <v>11753</v>
      </c>
      <c r="BN886" t="s">
        <v>74</v>
      </c>
      <c r="BO886" t="s">
        <v>4667</v>
      </c>
      <c r="BP886" t="s">
        <v>74</v>
      </c>
      <c r="BQ886" t="s">
        <v>74</v>
      </c>
      <c r="BR886" t="s">
        <v>101</v>
      </c>
      <c r="BS886" t="s">
        <v>11754</v>
      </c>
      <c r="BT886" t="str">
        <f>HYPERLINK("https%3A%2F%2Fwww.webofscience.com%2Fwos%2Fwoscc%2Ffull-record%2FWOS:000253767200007","View Full Record in Web of Science")</f>
        <v>View Full Record in Web of Science</v>
      </c>
    </row>
    <row r="887" spans="1:72" x14ac:dyDescent="0.15">
      <c r="A887" t="s">
        <v>72</v>
      </c>
      <c r="B887" t="s">
        <v>11755</v>
      </c>
      <c r="C887" t="s">
        <v>74</v>
      </c>
      <c r="D887" t="s">
        <v>74</v>
      </c>
      <c r="E887" t="s">
        <v>74</v>
      </c>
      <c r="F887" t="s">
        <v>11756</v>
      </c>
      <c r="G887" t="s">
        <v>74</v>
      </c>
      <c r="H887" t="s">
        <v>74</v>
      </c>
      <c r="I887" t="s">
        <v>11757</v>
      </c>
      <c r="J887" t="s">
        <v>3270</v>
      </c>
      <c r="K887" t="s">
        <v>74</v>
      </c>
      <c r="L887" t="s">
        <v>74</v>
      </c>
      <c r="M887" t="s">
        <v>78</v>
      </c>
      <c r="N887" t="s">
        <v>2737</v>
      </c>
      <c r="O887" t="s">
        <v>74</v>
      </c>
      <c r="P887" t="s">
        <v>74</v>
      </c>
      <c r="Q887" t="s">
        <v>74</v>
      </c>
      <c r="R887" t="s">
        <v>74</v>
      </c>
      <c r="S887" t="s">
        <v>74</v>
      </c>
      <c r="T887" t="s">
        <v>11758</v>
      </c>
      <c r="U887" t="s">
        <v>11759</v>
      </c>
      <c r="V887" t="s">
        <v>11760</v>
      </c>
      <c r="W887" t="s">
        <v>11761</v>
      </c>
      <c r="X887" t="s">
        <v>11762</v>
      </c>
      <c r="Y887" t="s">
        <v>11763</v>
      </c>
      <c r="Z887" t="s">
        <v>11764</v>
      </c>
      <c r="AA887" t="s">
        <v>11765</v>
      </c>
      <c r="AB887" t="s">
        <v>74</v>
      </c>
      <c r="AC887" t="s">
        <v>74</v>
      </c>
      <c r="AD887" t="s">
        <v>74</v>
      </c>
      <c r="AE887" t="s">
        <v>74</v>
      </c>
      <c r="AF887" t="s">
        <v>74</v>
      </c>
      <c r="AG887">
        <v>62</v>
      </c>
      <c r="AH887">
        <v>154</v>
      </c>
      <c r="AI887">
        <v>173</v>
      </c>
      <c r="AJ887">
        <v>1</v>
      </c>
      <c r="AK887">
        <v>53</v>
      </c>
      <c r="AL887" t="s">
        <v>3280</v>
      </c>
      <c r="AM887" t="s">
        <v>3281</v>
      </c>
      <c r="AN887" t="s">
        <v>3282</v>
      </c>
      <c r="AO887" t="s">
        <v>74</v>
      </c>
      <c r="AP887" t="s">
        <v>3283</v>
      </c>
      <c r="AQ887" t="s">
        <v>74</v>
      </c>
      <c r="AR887" t="s">
        <v>3284</v>
      </c>
      <c r="AS887" t="s">
        <v>3285</v>
      </c>
      <c r="AT887" t="s">
        <v>11766</v>
      </c>
      <c r="AU887">
        <v>2008</v>
      </c>
      <c r="AV887">
        <v>9</v>
      </c>
      <c r="AW887" t="s">
        <v>74</v>
      </c>
      <c r="AX887" t="s">
        <v>74</v>
      </c>
      <c r="AY887" t="s">
        <v>74</v>
      </c>
      <c r="AZ887" t="s">
        <v>74</v>
      </c>
      <c r="BA887" t="s">
        <v>74</v>
      </c>
      <c r="BB887" t="s">
        <v>74</v>
      </c>
      <c r="BC887" t="s">
        <v>74</v>
      </c>
      <c r="BD887" t="s">
        <v>11767</v>
      </c>
      <c r="BE887" t="s">
        <v>11768</v>
      </c>
      <c r="BF887" t="str">
        <f>HYPERLINK("http://dx.doi.org/10.1029/2007GC001736","http://dx.doi.org/10.1029/2007GC001736")</f>
        <v>http://dx.doi.org/10.1029/2007GC001736</v>
      </c>
      <c r="BG887" t="s">
        <v>74</v>
      </c>
      <c r="BH887" t="s">
        <v>74</v>
      </c>
      <c r="BI887">
        <v>14</v>
      </c>
      <c r="BJ887" t="s">
        <v>98</v>
      </c>
      <c r="BK887" t="s">
        <v>419</v>
      </c>
      <c r="BL887" t="s">
        <v>98</v>
      </c>
      <c r="BM887" t="s">
        <v>11769</v>
      </c>
      <c r="BN887" t="s">
        <v>74</v>
      </c>
      <c r="BO887" t="s">
        <v>3589</v>
      </c>
      <c r="BP887" t="s">
        <v>74</v>
      </c>
      <c r="BQ887" t="s">
        <v>74</v>
      </c>
      <c r="BR887" t="s">
        <v>101</v>
      </c>
      <c r="BS887" t="s">
        <v>11770</v>
      </c>
      <c r="BT887" t="str">
        <f>HYPERLINK("https%3A%2F%2Fwww.webofscience.com%2Fwos%2Fwoscc%2Ffull-record%2FWOS:000253063300001","View Full Record in Web of Science")</f>
        <v>View Full Record in Web of Science</v>
      </c>
    </row>
    <row r="888" spans="1:72" x14ac:dyDescent="0.15">
      <c r="A888" t="s">
        <v>72</v>
      </c>
      <c r="B888" t="s">
        <v>11771</v>
      </c>
      <c r="C888" t="s">
        <v>74</v>
      </c>
      <c r="D888" t="s">
        <v>74</v>
      </c>
      <c r="E888" t="s">
        <v>74</v>
      </c>
      <c r="F888" t="s">
        <v>11772</v>
      </c>
      <c r="G888" t="s">
        <v>74</v>
      </c>
      <c r="H888" t="s">
        <v>74</v>
      </c>
      <c r="I888" t="s">
        <v>11773</v>
      </c>
      <c r="J888" t="s">
        <v>3432</v>
      </c>
      <c r="K888" t="s">
        <v>74</v>
      </c>
      <c r="L888" t="s">
        <v>74</v>
      </c>
      <c r="M888" t="s">
        <v>78</v>
      </c>
      <c r="N888" t="s">
        <v>2737</v>
      </c>
      <c r="O888" t="s">
        <v>74</v>
      </c>
      <c r="P888" t="s">
        <v>74</v>
      </c>
      <c r="Q888" t="s">
        <v>74</v>
      </c>
      <c r="R888" t="s">
        <v>74</v>
      </c>
      <c r="S888" t="s">
        <v>74</v>
      </c>
      <c r="T888" t="s">
        <v>74</v>
      </c>
      <c r="U888" t="s">
        <v>11774</v>
      </c>
      <c r="V888" t="s">
        <v>11775</v>
      </c>
      <c r="W888" t="s">
        <v>11776</v>
      </c>
      <c r="X888" t="s">
        <v>11777</v>
      </c>
      <c r="Y888" t="s">
        <v>11778</v>
      </c>
      <c r="Z888" t="s">
        <v>11779</v>
      </c>
      <c r="AA888" t="s">
        <v>11780</v>
      </c>
      <c r="AB888" t="s">
        <v>11781</v>
      </c>
      <c r="AC888" t="s">
        <v>74</v>
      </c>
      <c r="AD888" t="s">
        <v>74</v>
      </c>
      <c r="AE888" t="s">
        <v>74</v>
      </c>
      <c r="AF888" t="s">
        <v>74</v>
      </c>
      <c r="AG888">
        <v>54</v>
      </c>
      <c r="AH888">
        <v>45</v>
      </c>
      <c r="AI888">
        <v>49</v>
      </c>
      <c r="AJ888">
        <v>1</v>
      </c>
      <c r="AK888">
        <v>20</v>
      </c>
      <c r="AL888" t="s">
        <v>3280</v>
      </c>
      <c r="AM888" t="s">
        <v>3281</v>
      </c>
      <c r="AN888" t="s">
        <v>3282</v>
      </c>
      <c r="AO888" t="s">
        <v>3439</v>
      </c>
      <c r="AP888" t="s">
        <v>3440</v>
      </c>
      <c r="AQ888" t="s">
        <v>74</v>
      </c>
      <c r="AR888" t="s">
        <v>3441</v>
      </c>
      <c r="AS888" t="s">
        <v>3442</v>
      </c>
      <c r="AT888" t="s">
        <v>11782</v>
      </c>
      <c r="AU888">
        <v>2008</v>
      </c>
      <c r="AV888">
        <v>113</v>
      </c>
      <c r="AW888" t="s">
        <v>11418</v>
      </c>
      <c r="AX888" t="s">
        <v>74</v>
      </c>
      <c r="AY888" t="s">
        <v>74</v>
      </c>
      <c r="AZ888" t="s">
        <v>74</v>
      </c>
      <c r="BA888" t="s">
        <v>74</v>
      </c>
      <c r="BB888" t="s">
        <v>74</v>
      </c>
      <c r="BC888" t="s">
        <v>74</v>
      </c>
      <c r="BD888" t="s">
        <v>11783</v>
      </c>
      <c r="BE888" t="s">
        <v>11784</v>
      </c>
      <c r="BF888" t="str">
        <f>HYPERLINK("http://dx.doi.org/10.1029/2006JC004032","http://dx.doi.org/10.1029/2006JC004032")</f>
        <v>http://dx.doi.org/10.1029/2006JC004032</v>
      </c>
      <c r="BG888" t="s">
        <v>74</v>
      </c>
      <c r="BH888" t="s">
        <v>74</v>
      </c>
      <c r="BI888">
        <v>15</v>
      </c>
      <c r="BJ888" t="s">
        <v>3447</v>
      </c>
      <c r="BK888" t="s">
        <v>419</v>
      </c>
      <c r="BL888" t="s">
        <v>3447</v>
      </c>
      <c r="BM888" t="s">
        <v>11785</v>
      </c>
      <c r="BN888" t="s">
        <v>74</v>
      </c>
      <c r="BO888" t="s">
        <v>3290</v>
      </c>
      <c r="BP888" t="s">
        <v>74</v>
      </c>
      <c r="BQ888" t="s">
        <v>74</v>
      </c>
      <c r="BR888" t="s">
        <v>101</v>
      </c>
      <c r="BS888" t="s">
        <v>11786</v>
      </c>
      <c r="BT888" t="str">
        <f>HYPERLINK("https%3A%2F%2Fwww.webofscience.com%2Fwos%2Fwoscc%2Ffull-record%2FWOS:000253067100001","View Full Record in Web of Science")</f>
        <v>View Full Record in Web of Science</v>
      </c>
    </row>
    <row r="889" spans="1:72" x14ac:dyDescent="0.15">
      <c r="A889" t="s">
        <v>72</v>
      </c>
      <c r="B889" t="s">
        <v>11787</v>
      </c>
      <c r="C889" t="s">
        <v>74</v>
      </c>
      <c r="D889" t="s">
        <v>74</v>
      </c>
      <c r="E889" t="s">
        <v>74</v>
      </c>
      <c r="F889" t="s">
        <v>11788</v>
      </c>
      <c r="G889" t="s">
        <v>74</v>
      </c>
      <c r="H889" t="s">
        <v>74</v>
      </c>
      <c r="I889" t="s">
        <v>11789</v>
      </c>
      <c r="J889" t="s">
        <v>11790</v>
      </c>
      <c r="K889" t="s">
        <v>74</v>
      </c>
      <c r="L889" t="s">
        <v>74</v>
      </c>
      <c r="M889" t="s">
        <v>78</v>
      </c>
      <c r="N889" t="s">
        <v>2737</v>
      </c>
      <c r="O889" t="s">
        <v>74</v>
      </c>
      <c r="P889" t="s">
        <v>74</v>
      </c>
      <c r="Q889" t="s">
        <v>74</v>
      </c>
      <c r="R889" t="s">
        <v>74</v>
      </c>
      <c r="S889" t="s">
        <v>74</v>
      </c>
      <c r="T889" t="s">
        <v>74</v>
      </c>
      <c r="U889" t="s">
        <v>11791</v>
      </c>
      <c r="V889" t="s">
        <v>11792</v>
      </c>
      <c r="W889" t="s">
        <v>11793</v>
      </c>
      <c r="X889" t="s">
        <v>11794</v>
      </c>
      <c r="Y889" t="s">
        <v>11795</v>
      </c>
      <c r="Z889" t="s">
        <v>11796</v>
      </c>
      <c r="AA889" t="s">
        <v>11797</v>
      </c>
      <c r="AB889" t="s">
        <v>11798</v>
      </c>
      <c r="AC889" t="s">
        <v>74</v>
      </c>
      <c r="AD889" t="s">
        <v>74</v>
      </c>
      <c r="AE889" t="s">
        <v>74</v>
      </c>
      <c r="AF889" t="s">
        <v>74</v>
      </c>
      <c r="AG889">
        <v>29</v>
      </c>
      <c r="AH889">
        <v>34</v>
      </c>
      <c r="AI889">
        <v>34</v>
      </c>
      <c r="AJ889">
        <v>1</v>
      </c>
      <c r="AK889">
        <v>18</v>
      </c>
      <c r="AL889" t="s">
        <v>5452</v>
      </c>
      <c r="AM889" t="s">
        <v>3550</v>
      </c>
      <c r="AN889" t="s">
        <v>5453</v>
      </c>
      <c r="AO889" t="s">
        <v>11799</v>
      </c>
      <c r="AP889" t="s">
        <v>74</v>
      </c>
      <c r="AQ889" t="s">
        <v>74</v>
      </c>
      <c r="AR889" t="s">
        <v>11800</v>
      </c>
      <c r="AS889" t="s">
        <v>11801</v>
      </c>
      <c r="AT889" t="s">
        <v>11782</v>
      </c>
      <c r="AU889">
        <v>2008</v>
      </c>
      <c r="AV889">
        <v>7</v>
      </c>
      <c r="AW889" t="s">
        <v>74</v>
      </c>
      <c r="AX889" t="s">
        <v>74</v>
      </c>
      <c r="AY889" t="s">
        <v>74</v>
      </c>
      <c r="AZ889" t="s">
        <v>74</v>
      </c>
      <c r="BA889" t="s">
        <v>74</v>
      </c>
      <c r="BB889" t="s">
        <v>74</v>
      </c>
      <c r="BC889" t="s">
        <v>74</v>
      </c>
      <c r="BD889">
        <v>2</v>
      </c>
      <c r="BE889" t="s">
        <v>11802</v>
      </c>
      <c r="BF889" t="str">
        <f>HYPERLINK("http://dx.doi.org/10.1186/1475-2859-7-2","http://dx.doi.org/10.1186/1475-2859-7-2")</f>
        <v>http://dx.doi.org/10.1186/1475-2859-7-2</v>
      </c>
      <c r="BG889" t="s">
        <v>74</v>
      </c>
      <c r="BH889" t="s">
        <v>74</v>
      </c>
      <c r="BI889">
        <v>10</v>
      </c>
      <c r="BJ889" t="s">
        <v>3986</v>
      </c>
      <c r="BK889" t="s">
        <v>419</v>
      </c>
      <c r="BL889" t="s">
        <v>3986</v>
      </c>
      <c r="BM889" t="s">
        <v>11803</v>
      </c>
      <c r="BN889">
        <v>18257924</v>
      </c>
      <c r="BO889" t="s">
        <v>5459</v>
      </c>
      <c r="BP889" t="s">
        <v>74</v>
      </c>
      <c r="BQ889" t="s">
        <v>74</v>
      </c>
      <c r="BR889" t="s">
        <v>101</v>
      </c>
      <c r="BS889" t="s">
        <v>11804</v>
      </c>
      <c r="BT889" t="str">
        <f>HYPERLINK("https%3A%2F%2Fwww.webofscience.com%2Fwos%2Fwoscc%2Ffull-record%2FWOS:000254457300001","View Full Record in Web of Science")</f>
        <v>View Full Record in Web of Science</v>
      </c>
    </row>
    <row r="890" spans="1:72" x14ac:dyDescent="0.15">
      <c r="A890" t="s">
        <v>72</v>
      </c>
      <c r="B890" t="s">
        <v>11805</v>
      </c>
      <c r="C890" t="s">
        <v>74</v>
      </c>
      <c r="D890" t="s">
        <v>74</v>
      </c>
      <c r="E890" t="s">
        <v>74</v>
      </c>
      <c r="F890" t="s">
        <v>11806</v>
      </c>
      <c r="G890" t="s">
        <v>74</v>
      </c>
      <c r="H890" t="s">
        <v>74</v>
      </c>
      <c r="I890" t="s">
        <v>11807</v>
      </c>
      <c r="J890" t="s">
        <v>3396</v>
      </c>
      <c r="K890" t="s">
        <v>74</v>
      </c>
      <c r="L890" t="s">
        <v>74</v>
      </c>
      <c r="M890" t="s">
        <v>78</v>
      </c>
      <c r="N890" t="s">
        <v>2737</v>
      </c>
      <c r="O890" t="s">
        <v>74</v>
      </c>
      <c r="P890" t="s">
        <v>74</v>
      </c>
      <c r="Q890" t="s">
        <v>74</v>
      </c>
      <c r="R890" t="s">
        <v>74</v>
      </c>
      <c r="S890" t="s">
        <v>74</v>
      </c>
      <c r="T890" t="s">
        <v>74</v>
      </c>
      <c r="U890" t="s">
        <v>11808</v>
      </c>
      <c r="V890" t="s">
        <v>11809</v>
      </c>
      <c r="W890" t="s">
        <v>11810</v>
      </c>
      <c r="X890" t="s">
        <v>2786</v>
      </c>
      <c r="Y890" t="s">
        <v>11811</v>
      </c>
      <c r="Z890" t="s">
        <v>74</v>
      </c>
      <c r="AA890" t="s">
        <v>74</v>
      </c>
      <c r="AB890" t="s">
        <v>11812</v>
      </c>
      <c r="AC890" t="s">
        <v>4340</v>
      </c>
      <c r="AD890" t="s">
        <v>3031</v>
      </c>
      <c r="AE890" t="s">
        <v>74</v>
      </c>
      <c r="AF890" t="s">
        <v>74</v>
      </c>
      <c r="AG890">
        <v>33</v>
      </c>
      <c r="AH890">
        <v>166</v>
      </c>
      <c r="AI890">
        <v>185</v>
      </c>
      <c r="AJ890">
        <v>1</v>
      </c>
      <c r="AK890">
        <v>49</v>
      </c>
      <c r="AL890" t="s">
        <v>3280</v>
      </c>
      <c r="AM890" t="s">
        <v>3281</v>
      </c>
      <c r="AN890" t="s">
        <v>3282</v>
      </c>
      <c r="AO890" t="s">
        <v>3406</v>
      </c>
      <c r="AP890" t="s">
        <v>3407</v>
      </c>
      <c r="AQ890" t="s">
        <v>74</v>
      </c>
      <c r="AR890" t="s">
        <v>3408</v>
      </c>
      <c r="AS890" t="s">
        <v>3409</v>
      </c>
      <c r="AT890" t="s">
        <v>11813</v>
      </c>
      <c r="AU890">
        <v>2008</v>
      </c>
      <c r="AV890">
        <v>113</v>
      </c>
      <c r="AW890" t="s">
        <v>11814</v>
      </c>
      <c r="AX890" t="s">
        <v>74</v>
      </c>
      <c r="AY890" t="s">
        <v>74</v>
      </c>
      <c r="AZ890" t="s">
        <v>74</v>
      </c>
      <c r="BA890" t="s">
        <v>74</v>
      </c>
      <c r="BB890" t="s">
        <v>74</v>
      </c>
      <c r="BC890" t="s">
        <v>74</v>
      </c>
      <c r="BD890" t="s">
        <v>11815</v>
      </c>
      <c r="BE890" t="s">
        <v>11816</v>
      </c>
      <c r="BF890" t="str">
        <f>HYPERLINK("http://dx.doi.org/10.1029/2007JD008933","http://dx.doi.org/10.1029/2007JD008933")</f>
        <v>http://dx.doi.org/10.1029/2007JD008933</v>
      </c>
      <c r="BG890" t="s">
        <v>74</v>
      </c>
      <c r="BH890" t="s">
        <v>74</v>
      </c>
      <c r="BI890">
        <v>13</v>
      </c>
      <c r="BJ890" t="s">
        <v>3071</v>
      </c>
      <c r="BK890" t="s">
        <v>419</v>
      </c>
      <c r="BL890" t="s">
        <v>3071</v>
      </c>
      <c r="BM890" t="s">
        <v>11817</v>
      </c>
      <c r="BN890" t="s">
        <v>74</v>
      </c>
      <c r="BO890" t="s">
        <v>74</v>
      </c>
      <c r="BP890" t="s">
        <v>74</v>
      </c>
      <c r="BQ890" t="s">
        <v>74</v>
      </c>
      <c r="BR890" t="s">
        <v>101</v>
      </c>
      <c r="BS890" t="s">
        <v>11818</v>
      </c>
      <c r="BT890" t="str">
        <f>HYPERLINK("https%3A%2F%2Fwww.webofscience.com%2Fwos%2Fwoscc%2Ffull-record%2FWOS:000253065500003","View Full Record in Web of Science")</f>
        <v>View Full Record in Web of Science</v>
      </c>
    </row>
    <row r="891" spans="1:72" x14ac:dyDescent="0.15">
      <c r="A891" t="s">
        <v>72</v>
      </c>
      <c r="B891" t="s">
        <v>11819</v>
      </c>
      <c r="C891" t="s">
        <v>74</v>
      </c>
      <c r="D891" t="s">
        <v>74</v>
      </c>
      <c r="E891" t="s">
        <v>74</v>
      </c>
      <c r="F891" t="s">
        <v>11820</v>
      </c>
      <c r="G891" t="s">
        <v>74</v>
      </c>
      <c r="H891" t="s">
        <v>74</v>
      </c>
      <c r="I891" t="s">
        <v>11821</v>
      </c>
      <c r="J891" t="s">
        <v>3776</v>
      </c>
      <c r="K891" t="s">
        <v>74</v>
      </c>
      <c r="L891" t="s">
        <v>74</v>
      </c>
      <c r="M891" t="s">
        <v>78</v>
      </c>
      <c r="N891" t="s">
        <v>2737</v>
      </c>
      <c r="O891" t="s">
        <v>74</v>
      </c>
      <c r="P891" t="s">
        <v>74</v>
      </c>
      <c r="Q891" t="s">
        <v>74</v>
      </c>
      <c r="R891" t="s">
        <v>74</v>
      </c>
      <c r="S891" t="s">
        <v>74</v>
      </c>
      <c r="T891" t="s">
        <v>74</v>
      </c>
      <c r="U891" t="s">
        <v>11822</v>
      </c>
      <c r="V891" t="s">
        <v>11823</v>
      </c>
      <c r="W891" t="s">
        <v>11824</v>
      </c>
      <c r="X891" t="s">
        <v>11825</v>
      </c>
      <c r="Y891" t="s">
        <v>11826</v>
      </c>
      <c r="Z891" t="s">
        <v>11827</v>
      </c>
      <c r="AA891" t="s">
        <v>11828</v>
      </c>
      <c r="AB891" t="s">
        <v>11829</v>
      </c>
      <c r="AC891" t="s">
        <v>4242</v>
      </c>
      <c r="AD891" t="s">
        <v>3031</v>
      </c>
      <c r="AE891" t="s">
        <v>74</v>
      </c>
      <c r="AF891" t="s">
        <v>74</v>
      </c>
      <c r="AG891">
        <v>31</v>
      </c>
      <c r="AH891">
        <v>23</v>
      </c>
      <c r="AI891">
        <v>23</v>
      </c>
      <c r="AJ891">
        <v>2</v>
      </c>
      <c r="AK891">
        <v>6</v>
      </c>
      <c r="AL891" t="s">
        <v>3280</v>
      </c>
      <c r="AM891" t="s">
        <v>3281</v>
      </c>
      <c r="AN891" t="s">
        <v>3282</v>
      </c>
      <c r="AO891" t="s">
        <v>3786</v>
      </c>
      <c r="AP891" t="s">
        <v>3787</v>
      </c>
      <c r="AQ891" t="s">
        <v>74</v>
      </c>
      <c r="AR891" t="s">
        <v>3788</v>
      </c>
      <c r="AS891" t="s">
        <v>3789</v>
      </c>
      <c r="AT891" t="s">
        <v>11813</v>
      </c>
      <c r="AU891">
        <v>2008</v>
      </c>
      <c r="AV891">
        <v>113</v>
      </c>
      <c r="AW891" t="s">
        <v>11830</v>
      </c>
      <c r="AX891" t="s">
        <v>74</v>
      </c>
      <c r="AY891" t="s">
        <v>74</v>
      </c>
      <c r="AZ891" t="s">
        <v>74</v>
      </c>
      <c r="BA891" t="s">
        <v>74</v>
      </c>
      <c r="BB891" t="s">
        <v>74</v>
      </c>
      <c r="BC891" t="s">
        <v>74</v>
      </c>
      <c r="BD891" t="s">
        <v>11831</v>
      </c>
      <c r="BE891" t="s">
        <v>11832</v>
      </c>
      <c r="BF891" t="str">
        <f>HYPERLINK("http://dx.doi.org/10.1029/2007JA012345","http://dx.doi.org/10.1029/2007JA012345")</f>
        <v>http://dx.doi.org/10.1029/2007JA012345</v>
      </c>
      <c r="BG891" t="s">
        <v>74</v>
      </c>
      <c r="BH891" t="s">
        <v>74</v>
      </c>
      <c r="BI891">
        <v>20</v>
      </c>
      <c r="BJ891" t="s">
        <v>3794</v>
      </c>
      <c r="BK891" t="s">
        <v>419</v>
      </c>
      <c r="BL891" t="s">
        <v>3794</v>
      </c>
      <c r="BM891" t="s">
        <v>11833</v>
      </c>
      <c r="BN891" t="s">
        <v>74</v>
      </c>
      <c r="BO891" t="s">
        <v>5620</v>
      </c>
      <c r="BP891" t="s">
        <v>74</v>
      </c>
      <c r="BQ891" t="s">
        <v>74</v>
      </c>
      <c r="BR891" t="s">
        <v>101</v>
      </c>
      <c r="BS891" t="s">
        <v>11834</v>
      </c>
      <c r="BT891" t="str">
        <f>HYPERLINK("https%3A%2F%2Fwww.webofscience.com%2Fwos%2Fwoscc%2Ffull-record%2FWOS:000253068300002","View Full Record in Web of Science")</f>
        <v>View Full Record in Web of Science</v>
      </c>
    </row>
    <row r="892" spans="1:72" x14ac:dyDescent="0.15">
      <c r="A892" t="s">
        <v>72</v>
      </c>
      <c r="B892" t="s">
        <v>11835</v>
      </c>
      <c r="C892" t="s">
        <v>74</v>
      </c>
      <c r="D892" t="s">
        <v>74</v>
      </c>
      <c r="E892" t="s">
        <v>74</v>
      </c>
      <c r="F892" t="s">
        <v>11836</v>
      </c>
      <c r="G892" t="s">
        <v>74</v>
      </c>
      <c r="H892" t="s">
        <v>74</v>
      </c>
      <c r="I892" t="s">
        <v>11837</v>
      </c>
      <c r="J892" t="s">
        <v>3594</v>
      </c>
      <c r="K892" t="s">
        <v>74</v>
      </c>
      <c r="L892" t="s">
        <v>74</v>
      </c>
      <c r="M892" t="s">
        <v>78</v>
      </c>
      <c r="N892" t="s">
        <v>2737</v>
      </c>
      <c r="O892" t="s">
        <v>74</v>
      </c>
      <c r="P892" t="s">
        <v>74</v>
      </c>
      <c r="Q892" t="s">
        <v>74</v>
      </c>
      <c r="R892" t="s">
        <v>74</v>
      </c>
      <c r="S892" t="s">
        <v>74</v>
      </c>
      <c r="T892" t="s">
        <v>74</v>
      </c>
      <c r="U892" t="s">
        <v>11838</v>
      </c>
      <c r="V892" t="s">
        <v>11839</v>
      </c>
      <c r="W892" t="s">
        <v>11840</v>
      </c>
      <c r="X892" t="s">
        <v>11841</v>
      </c>
      <c r="Y892" t="s">
        <v>11842</v>
      </c>
      <c r="Z892" t="s">
        <v>11843</v>
      </c>
      <c r="AA892" t="s">
        <v>74</v>
      </c>
      <c r="AB892" t="s">
        <v>74</v>
      </c>
      <c r="AC892" t="s">
        <v>74</v>
      </c>
      <c r="AD892" t="s">
        <v>74</v>
      </c>
      <c r="AE892" t="s">
        <v>74</v>
      </c>
      <c r="AF892" t="s">
        <v>74</v>
      </c>
      <c r="AG892">
        <v>60</v>
      </c>
      <c r="AH892">
        <v>121</v>
      </c>
      <c r="AI892">
        <v>129</v>
      </c>
      <c r="AJ892">
        <v>0</v>
      </c>
      <c r="AK892">
        <v>30</v>
      </c>
      <c r="AL892" t="s">
        <v>3280</v>
      </c>
      <c r="AM892" t="s">
        <v>3281</v>
      </c>
      <c r="AN892" t="s">
        <v>3282</v>
      </c>
      <c r="AO892" t="s">
        <v>3605</v>
      </c>
      <c r="AP892" t="s">
        <v>3606</v>
      </c>
      <c r="AQ892" t="s">
        <v>74</v>
      </c>
      <c r="AR892" t="s">
        <v>3594</v>
      </c>
      <c r="AS892" t="s">
        <v>3607</v>
      </c>
      <c r="AT892" t="s">
        <v>11813</v>
      </c>
      <c r="AU892">
        <v>2008</v>
      </c>
      <c r="AV892">
        <v>23</v>
      </c>
      <c r="AW892">
        <v>1</v>
      </c>
      <c r="AX892" t="s">
        <v>74</v>
      </c>
      <c r="AY892" t="s">
        <v>74</v>
      </c>
      <c r="AZ892" t="s">
        <v>74</v>
      </c>
      <c r="BA892" t="s">
        <v>74</v>
      </c>
      <c r="BB892" t="s">
        <v>74</v>
      </c>
      <c r="BC892" t="s">
        <v>74</v>
      </c>
      <c r="BD892" t="s">
        <v>11844</v>
      </c>
      <c r="BE892" t="s">
        <v>11845</v>
      </c>
      <c r="BF892" t="str">
        <f>HYPERLINK("http://dx.doi.org/10.1029/2007PA001483","http://dx.doi.org/10.1029/2007PA001483")</f>
        <v>http://dx.doi.org/10.1029/2007PA001483</v>
      </c>
      <c r="BG892" t="s">
        <v>74</v>
      </c>
      <c r="BH892" t="s">
        <v>74</v>
      </c>
      <c r="BI892">
        <v>12</v>
      </c>
      <c r="BJ892" t="s">
        <v>3610</v>
      </c>
      <c r="BK892" t="s">
        <v>419</v>
      </c>
      <c r="BL892" t="s">
        <v>3611</v>
      </c>
      <c r="BM892" t="s">
        <v>11846</v>
      </c>
      <c r="BN892" t="s">
        <v>74</v>
      </c>
      <c r="BO892" t="s">
        <v>3290</v>
      </c>
      <c r="BP892" t="s">
        <v>74</v>
      </c>
      <c r="BQ892" t="s">
        <v>74</v>
      </c>
      <c r="BR892" t="s">
        <v>101</v>
      </c>
      <c r="BS892" t="s">
        <v>11847</v>
      </c>
      <c r="BT892" t="str">
        <f>HYPERLINK("https%3A%2F%2Fwww.webofscience.com%2Fwos%2Fwoscc%2Ffull-record%2FWOS:000253069300001","View Full Record in Web of Science")</f>
        <v>View Full Record in Web of Science</v>
      </c>
    </row>
    <row r="893" spans="1:72" x14ac:dyDescent="0.15">
      <c r="A893" t="s">
        <v>72</v>
      </c>
      <c r="B893" t="s">
        <v>11848</v>
      </c>
      <c r="C893" t="s">
        <v>74</v>
      </c>
      <c r="D893" t="s">
        <v>74</v>
      </c>
      <c r="E893" t="s">
        <v>74</v>
      </c>
      <c r="F893" t="s">
        <v>11849</v>
      </c>
      <c r="G893" t="s">
        <v>74</v>
      </c>
      <c r="H893" t="s">
        <v>74</v>
      </c>
      <c r="I893" t="s">
        <v>11850</v>
      </c>
      <c r="J893" t="s">
        <v>3295</v>
      </c>
      <c r="K893" t="s">
        <v>74</v>
      </c>
      <c r="L893" t="s">
        <v>74</v>
      </c>
      <c r="M893" t="s">
        <v>78</v>
      </c>
      <c r="N893" t="s">
        <v>2737</v>
      </c>
      <c r="O893" t="s">
        <v>74</v>
      </c>
      <c r="P893" t="s">
        <v>74</v>
      </c>
      <c r="Q893" t="s">
        <v>74</v>
      </c>
      <c r="R893" t="s">
        <v>74</v>
      </c>
      <c r="S893" t="s">
        <v>74</v>
      </c>
      <c r="T893" t="s">
        <v>74</v>
      </c>
      <c r="U893" t="s">
        <v>11851</v>
      </c>
      <c r="V893" t="s">
        <v>11852</v>
      </c>
      <c r="W893" t="s">
        <v>11853</v>
      </c>
      <c r="X893" t="s">
        <v>11854</v>
      </c>
      <c r="Y893" t="s">
        <v>11855</v>
      </c>
      <c r="Z893" t="s">
        <v>11856</v>
      </c>
      <c r="AA893" t="s">
        <v>11857</v>
      </c>
      <c r="AB893" t="s">
        <v>74</v>
      </c>
      <c r="AC893" t="s">
        <v>11858</v>
      </c>
      <c r="AD893" t="s">
        <v>2792</v>
      </c>
      <c r="AE893" t="s">
        <v>74</v>
      </c>
      <c r="AF893" t="s">
        <v>74</v>
      </c>
      <c r="AG893">
        <v>25</v>
      </c>
      <c r="AH893">
        <v>52</v>
      </c>
      <c r="AI893">
        <v>57</v>
      </c>
      <c r="AJ893">
        <v>1</v>
      </c>
      <c r="AK893">
        <v>22</v>
      </c>
      <c r="AL893" t="s">
        <v>3280</v>
      </c>
      <c r="AM893" t="s">
        <v>3281</v>
      </c>
      <c r="AN893" t="s">
        <v>3282</v>
      </c>
      <c r="AO893" t="s">
        <v>3304</v>
      </c>
      <c r="AP893" t="s">
        <v>74</v>
      </c>
      <c r="AQ893" t="s">
        <v>74</v>
      </c>
      <c r="AR893" t="s">
        <v>3306</v>
      </c>
      <c r="AS893" t="s">
        <v>3307</v>
      </c>
      <c r="AT893" t="s">
        <v>11859</v>
      </c>
      <c r="AU893">
        <v>2008</v>
      </c>
      <c r="AV893">
        <v>35</v>
      </c>
      <c r="AW893">
        <v>3</v>
      </c>
      <c r="AX893" t="s">
        <v>74</v>
      </c>
      <c r="AY893" t="s">
        <v>74</v>
      </c>
      <c r="AZ893" t="s">
        <v>74</v>
      </c>
      <c r="BA893" t="s">
        <v>74</v>
      </c>
      <c r="BB893" t="s">
        <v>74</v>
      </c>
      <c r="BC893" t="s">
        <v>74</v>
      </c>
      <c r="BD893" t="s">
        <v>11860</v>
      </c>
      <c r="BE893" t="s">
        <v>11861</v>
      </c>
      <c r="BF893" t="str">
        <f>HYPERLINK("http://dx.doi.org/10.1029/2007GL031572","http://dx.doi.org/10.1029/2007GL031572")</f>
        <v>http://dx.doi.org/10.1029/2007GL031572</v>
      </c>
      <c r="BG893" t="s">
        <v>74</v>
      </c>
      <c r="BH893" t="s">
        <v>74</v>
      </c>
      <c r="BI893">
        <v>5</v>
      </c>
      <c r="BJ893" t="s">
        <v>3093</v>
      </c>
      <c r="BK893" t="s">
        <v>419</v>
      </c>
      <c r="BL893" t="s">
        <v>3094</v>
      </c>
      <c r="BM893" t="s">
        <v>11862</v>
      </c>
      <c r="BN893" t="s">
        <v>74</v>
      </c>
      <c r="BO893" t="s">
        <v>3589</v>
      </c>
      <c r="BP893" t="s">
        <v>74</v>
      </c>
      <c r="BQ893" t="s">
        <v>74</v>
      </c>
      <c r="BR893" t="s">
        <v>101</v>
      </c>
      <c r="BS893" t="s">
        <v>11863</v>
      </c>
      <c r="BT893" t="str">
        <f>HYPERLINK("https%3A%2F%2Fwww.webofscience.com%2Fwos%2Fwoscc%2Ffull-record%2FWOS:000253063400002","View Full Record in Web of Science")</f>
        <v>View Full Record in Web of Science</v>
      </c>
    </row>
    <row r="894" spans="1:72" x14ac:dyDescent="0.15">
      <c r="A894" t="s">
        <v>72</v>
      </c>
      <c r="B894" t="s">
        <v>11864</v>
      </c>
      <c r="C894" t="s">
        <v>74</v>
      </c>
      <c r="D894" t="s">
        <v>74</v>
      </c>
      <c r="E894" t="s">
        <v>74</v>
      </c>
      <c r="F894" t="s">
        <v>11865</v>
      </c>
      <c r="G894" t="s">
        <v>74</v>
      </c>
      <c r="H894" t="s">
        <v>74</v>
      </c>
      <c r="I894" t="s">
        <v>11866</v>
      </c>
      <c r="J894" t="s">
        <v>3295</v>
      </c>
      <c r="K894" t="s">
        <v>74</v>
      </c>
      <c r="L894" t="s">
        <v>74</v>
      </c>
      <c r="M894" t="s">
        <v>78</v>
      </c>
      <c r="N894" t="s">
        <v>2737</v>
      </c>
      <c r="O894" t="s">
        <v>74</v>
      </c>
      <c r="P894" t="s">
        <v>74</v>
      </c>
      <c r="Q894" t="s">
        <v>74</v>
      </c>
      <c r="R894" t="s">
        <v>74</v>
      </c>
      <c r="S894" t="s">
        <v>74</v>
      </c>
      <c r="T894" t="s">
        <v>74</v>
      </c>
      <c r="U894" t="s">
        <v>11867</v>
      </c>
      <c r="V894" t="s">
        <v>11868</v>
      </c>
      <c r="W894" t="s">
        <v>11869</v>
      </c>
      <c r="X894" t="s">
        <v>11870</v>
      </c>
      <c r="Y894" t="s">
        <v>11871</v>
      </c>
      <c r="Z894" t="s">
        <v>11872</v>
      </c>
      <c r="AA894" t="s">
        <v>11873</v>
      </c>
      <c r="AB894" t="s">
        <v>11874</v>
      </c>
      <c r="AC894" t="s">
        <v>74</v>
      </c>
      <c r="AD894" t="s">
        <v>74</v>
      </c>
      <c r="AE894" t="s">
        <v>74</v>
      </c>
      <c r="AF894" t="s">
        <v>74</v>
      </c>
      <c r="AG894">
        <v>27</v>
      </c>
      <c r="AH894">
        <v>13</v>
      </c>
      <c r="AI894">
        <v>13</v>
      </c>
      <c r="AJ894">
        <v>1</v>
      </c>
      <c r="AK894">
        <v>16</v>
      </c>
      <c r="AL894" t="s">
        <v>3280</v>
      </c>
      <c r="AM894" t="s">
        <v>3281</v>
      </c>
      <c r="AN894" t="s">
        <v>3282</v>
      </c>
      <c r="AO894" t="s">
        <v>3304</v>
      </c>
      <c r="AP894" t="s">
        <v>74</v>
      </c>
      <c r="AQ894" t="s">
        <v>74</v>
      </c>
      <c r="AR894" t="s">
        <v>3306</v>
      </c>
      <c r="AS894" t="s">
        <v>3307</v>
      </c>
      <c r="AT894" t="s">
        <v>11859</v>
      </c>
      <c r="AU894">
        <v>2008</v>
      </c>
      <c r="AV894">
        <v>35</v>
      </c>
      <c r="AW894">
        <v>3</v>
      </c>
      <c r="AX894" t="s">
        <v>74</v>
      </c>
      <c r="AY894" t="s">
        <v>74</v>
      </c>
      <c r="AZ894" t="s">
        <v>74</v>
      </c>
      <c r="BA894" t="s">
        <v>74</v>
      </c>
      <c r="BB894" t="s">
        <v>74</v>
      </c>
      <c r="BC894" t="s">
        <v>74</v>
      </c>
      <c r="BD894" t="s">
        <v>11875</v>
      </c>
      <c r="BE894" t="s">
        <v>11876</v>
      </c>
      <c r="BF894" t="str">
        <f>HYPERLINK("http://dx.doi.org/10.1029/2007GL032162","http://dx.doi.org/10.1029/2007GL032162")</f>
        <v>http://dx.doi.org/10.1029/2007GL032162</v>
      </c>
      <c r="BG894" t="s">
        <v>74</v>
      </c>
      <c r="BH894" t="s">
        <v>74</v>
      </c>
      <c r="BI894">
        <v>5</v>
      </c>
      <c r="BJ894" t="s">
        <v>3093</v>
      </c>
      <c r="BK894" t="s">
        <v>419</v>
      </c>
      <c r="BL894" t="s">
        <v>3094</v>
      </c>
      <c r="BM894" t="s">
        <v>11862</v>
      </c>
      <c r="BN894" t="s">
        <v>74</v>
      </c>
      <c r="BO894" t="s">
        <v>3290</v>
      </c>
      <c r="BP894" t="s">
        <v>74</v>
      </c>
      <c r="BQ894" t="s">
        <v>74</v>
      </c>
      <c r="BR894" t="s">
        <v>101</v>
      </c>
      <c r="BS894" t="s">
        <v>11877</v>
      </c>
      <c r="BT894" t="str">
        <f>HYPERLINK("https%3A%2F%2Fwww.webofscience.com%2Fwos%2Fwoscc%2Ffull-record%2FWOS:000253063400004","View Full Record in Web of Science")</f>
        <v>View Full Record in Web of Science</v>
      </c>
    </row>
    <row r="895" spans="1:72" x14ac:dyDescent="0.15">
      <c r="A895" t="s">
        <v>72</v>
      </c>
      <c r="B895" t="s">
        <v>11878</v>
      </c>
      <c r="C895" t="s">
        <v>74</v>
      </c>
      <c r="D895" t="s">
        <v>74</v>
      </c>
      <c r="E895" t="s">
        <v>74</v>
      </c>
      <c r="F895" t="s">
        <v>11879</v>
      </c>
      <c r="G895" t="s">
        <v>74</v>
      </c>
      <c r="H895" t="s">
        <v>74</v>
      </c>
      <c r="I895" t="s">
        <v>11880</v>
      </c>
      <c r="J895" t="s">
        <v>3453</v>
      </c>
      <c r="K895" t="s">
        <v>74</v>
      </c>
      <c r="L895" t="s">
        <v>74</v>
      </c>
      <c r="M895" t="s">
        <v>78</v>
      </c>
      <c r="N895" t="s">
        <v>2737</v>
      </c>
      <c r="O895" t="s">
        <v>74</v>
      </c>
      <c r="P895" t="s">
        <v>74</v>
      </c>
      <c r="Q895" t="s">
        <v>74</v>
      </c>
      <c r="R895" t="s">
        <v>74</v>
      </c>
      <c r="S895" t="s">
        <v>74</v>
      </c>
      <c r="T895" t="s">
        <v>11881</v>
      </c>
      <c r="U895" t="s">
        <v>11882</v>
      </c>
      <c r="V895" t="s">
        <v>11883</v>
      </c>
      <c r="W895" t="s">
        <v>11884</v>
      </c>
      <c r="X895" t="s">
        <v>11885</v>
      </c>
      <c r="Y895" t="s">
        <v>11886</v>
      </c>
      <c r="Z895" t="s">
        <v>11887</v>
      </c>
      <c r="AA895" t="s">
        <v>11888</v>
      </c>
      <c r="AB895" t="s">
        <v>11889</v>
      </c>
      <c r="AC895" t="s">
        <v>74</v>
      </c>
      <c r="AD895" t="s">
        <v>74</v>
      </c>
      <c r="AE895" t="s">
        <v>74</v>
      </c>
      <c r="AF895" t="s">
        <v>74</v>
      </c>
      <c r="AG895">
        <v>36</v>
      </c>
      <c r="AH895">
        <v>311</v>
      </c>
      <c r="AI895">
        <v>362</v>
      </c>
      <c r="AJ895">
        <v>8</v>
      </c>
      <c r="AK895">
        <v>147</v>
      </c>
      <c r="AL895" t="s">
        <v>3463</v>
      </c>
      <c r="AM895" t="s">
        <v>3281</v>
      </c>
      <c r="AN895" t="s">
        <v>3464</v>
      </c>
      <c r="AO895" t="s">
        <v>3465</v>
      </c>
      <c r="AP895" t="s">
        <v>11536</v>
      </c>
      <c r="AQ895" t="s">
        <v>74</v>
      </c>
      <c r="AR895" t="s">
        <v>3466</v>
      </c>
      <c r="AS895" t="s">
        <v>3467</v>
      </c>
      <c r="AT895" t="s">
        <v>11859</v>
      </c>
      <c r="AU895">
        <v>2008</v>
      </c>
      <c r="AV895">
        <v>105</v>
      </c>
      <c r="AW895">
        <v>5</v>
      </c>
      <c r="AX895" t="s">
        <v>74</v>
      </c>
      <c r="AY895" t="s">
        <v>74</v>
      </c>
      <c r="AZ895" t="s">
        <v>74</v>
      </c>
      <c r="BA895" t="s">
        <v>74</v>
      </c>
      <c r="BB895">
        <v>1425</v>
      </c>
      <c r="BC895">
        <v>1430</v>
      </c>
      <c r="BD895" t="s">
        <v>74</v>
      </c>
      <c r="BE895" t="s">
        <v>11890</v>
      </c>
      <c r="BF895" t="str">
        <f>HYPERLINK("http://dx.doi.org/10.1073/pnas.0707386105","http://dx.doi.org/10.1073/pnas.0707386105")</f>
        <v>http://dx.doi.org/10.1073/pnas.0707386105</v>
      </c>
      <c r="BG895" t="s">
        <v>74</v>
      </c>
      <c r="BH895" t="s">
        <v>74</v>
      </c>
      <c r="BI895">
        <v>6</v>
      </c>
      <c r="BJ895" t="s">
        <v>3123</v>
      </c>
      <c r="BK895" t="s">
        <v>419</v>
      </c>
      <c r="BL895" t="s">
        <v>3124</v>
      </c>
      <c r="BM895" t="s">
        <v>11891</v>
      </c>
      <c r="BN895">
        <v>18252830</v>
      </c>
      <c r="BO895" t="s">
        <v>3359</v>
      </c>
      <c r="BP895" t="s">
        <v>74</v>
      </c>
      <c r="BQ895" t="s">
        <v>74</v>
      </c>
      <c r="BR895" t="s">
        <v>101</v>
      </c>
      <c r="BS895" t="s">
        <v>11892</v>
      </c>
      <c r="BT895" t="str">
        <f>HYPERLINK("https%3A%2F%2Fwww.webofscience.com%2Fwos%2Fwoscc%2Ffull-record%2FWOS:000253077900010","View Full Record in Web of Science")</f>
        <v>View Full Record in Web of Science</v>
      </c>
    </row>
    <row r="896" spans="1:72" x14ac:dyDescent="0.15">
      <c r="A896" t="s">
        <v>72</v>
      </c>
      <c r="B896" t="s">
        <v>11893</v>
      </c>
      <c r="C896" t="s">
        <v>74</v>
      </c>
      <c r="D896" t="s">
        <v>74</v>
      </c>
      <c r="E896" t="s">
        <v>74</v>
      </c>
      <c r="F896" t="s">
        <v>11894</v>
      </c>
      <c r="G896" t="s">
        <v>74</v>
      </c>
      <c r="H896" t="s">
        <v>74</v>
      </c>
      <c r="I896" t="s">
        <v>11895</v>
      </c>
      <c r="J896" t="s">
        <v>11896</v>
      </c>
      <c r="K896" t="s">
        <v>74</v>
      </c>
      <c r="L896" t="s">
        <v>74</v>
      </c>
      <c r="M896" t="s">
        <v>78</v>
      </c>
      <c r="N896" t="s">
        <v>2737</v>
      </c>
      <c r="O896" t="s">
        <v>74</v>
      </c>
      <c r="P896" t="s">
        <v>74</v>
      </c>
      <c r="Q896" t="s">
        <v>74</v>
      </c>
      <c r="R896" t="s">
        <v>74</v>
      </c>
      <c r="S896" t="s">
        <v>74</v>
      </c>
      <c r="T896" t="s">
        <v>74</v>
      </c>
      <c r="U896" t="s">
        <v>74</v>
      </c>
      <c r="V896" t="s">
        <v>11897</v>
      </c>
      <c r="W896" t="s">
        <v>11898</v>
      </c>
      <c r="X896" t="s">
        <v>11899</v>
      </c>
      <c r="Y896" t="s">
        <v>11900</v>
      </c>
      <c r="Z896" t="s">
        <v>11901</v>
      </c>
      <c r="AA896" t="s">
        <v>11902</v>
      </c>
      <c r="AB896" t="s">
        <v>11903</v>
      </c>
      <c r="AC896" t="s">
        <v>74</v>
      </c>
      <c r="AD896" t="s">
        <v>74</v>
      </c>
      <c r="AE896" t="s">
        <v>74</v>
      </c>
      <c r="AF896" t="s">
        <v>74</v>
      </c>
      <c r="AG896">
        <v>9</v>
      </c>
      <c r="AH896">
        <v>34</v>
      </c>
      <c r="AI896">
        <v>37</v>
      </c>
      <c r="AJ896">
        <v>0</v>
      </c>
      <c r="AK896">
        <v>9</v>
      </c>
      <c r="AL896" t="s">
        <v>11904</v>
      </c>
      <c r="AM896" t="s">
        <v>11905</v>
      </c>
      <c r="AN896" t="s">
        <v>11906</v>
      </c>
      <c r="AO896" t="s">
        <v>11907</v>
      </c>
      <c r="AP896" t="s">
        <v>74</v>
      </c>
      <c r="AQ896" t="s">
        <v>74</v>
      </c>
      <c r="AR896" t="s">
        <v>11908</v>
      </c>
      <c r="AS896" t="s">
        <v>11909</v>
      </c>
      <c r="AT896" t="s">
        <v>11910</v>
      </c>
      <c r="AU896">
        <v>2008</v>
      </c>
      <c r="AV896">
        <v>188</v>
      </c>
      <c r="AW896">
        <v>3</v>
      </c>
      <c r="AX896" t="s">
        <v>74</v>
      </c>
      <c r="AY896" t="s">
        <v>74</v>
      </c>
      <c r="AZ896" t="s">
        <v>74</v>
      </c>
      <c r="BA896" t="s">
        <v>74</v>
      </c>
      <c r="BB896">
        <v>159</v>
      </c>
      <c r="BC896" t="s">
        <v>3131</v>
      </c>
      <c r="BD896" t="s">
        <v>74</v>
      </c>
      <c r="BE896" t="s">
        <v>11911</v>
      </c>
      <c r="BF896" t="str">
        <f>HYPERLINK("http://dx.doi.org/10.5694/j.1326-5377.2008.tb01561.x","http://dx.doi.org/10.5694/j.1326-5377.2008.tb01561.x")</f>
        <v>http://dx.doi.org/10.5694/j.1326-5377.2008.tb01561.x</v>
      </c>
      <c r="BG896" t="s">
        <v>74</v>
      </c>
      <c r="BH896" t="s">
        <v>74</v>
      </c>
      <c r="BI896">
        <v>3</v>
      </c>
      <c r="BJ896" t="s">
        <v>11912</v>
      </c>
      <c r="BK896" t="s">
        <v>419</v>
      </c>
      <c r="BL896" t="s">
        <v>11913</v>
      </c>
      <c r="BM896" t="s">
        <v>11914</v>
      </c>
      <c r="BN896">
        <v>18241174</v>
      </c>
      <c r="BO896" t="s">
        <v>74</v>
      </c>
      <c r="BP896" t="s">
        <v>74</v>
      </c>
      <c r="BQ896" t="s">
        <v>74</v>
      </c>
      <c r="BR896" t="s">
        <v>101</v>
      </c>
      <c r="BS896" t="s">
        <v>11915</v>
      </c>
      <c r="BT896" t="str">
        <f>HYPERLINK("https%3A%2F%2Fwww.webofscience.com%2Fwos%2Fwoscc%2Ffull-record%2FWOS:000255914600011","View Full Record in Web of Science")</f>
        <v>View Full Record in Web of Science</v>
      </c>
    </row>
    <row r="897" spans="1:72" x14ac:dyDescent="0.15">
      <c r="A897" t="s">
        <v>72</v>
      </c>
      <c r="B897" t="s">
        <v>8020</v>
      </c>
      <c r="C897" t="s">
        <v>74</v>
      </c>
      <c r="D897" t="s">
        <v>74</v>
      </c>
      <c r="E897" t="s">
        <v>74</v>
      </c>
      <c r="F897" t="s">
        <v>8021</v>
      </c>
      <c r="G897" t="s">
        <v>74</v>
      </c>
      <c r="H897" t="s">
        <v>74</v>
      </c>
      <c r="I897" t="s">
        <v>11916</v>
      </c>
      <c r="J897" t="s">
        <v>4127</v>
      </c>
      <c r="K897" t="s">
        <v>74</v>
      </c>
      <c r="L897" t="s">
        <v>74</v>
      </c>
      <c r="M897" t="s">
        <v>78</v>
      </c>
      <c r="N897" t="s">
        <v>2989</v>
      </c>
      <c r="O897" t="s">
        <v>74</v>
      </c>
      <c r="P897" t="s">
        <v>74</v>
      </c>
      <c r="Q897" t="s">
        <v>74</v>
      </c>
      <c r="R897" t="s">
        <v>74</v>
      </c>
      <c r="S897" t="s">
        <v>74</v>
      </c>
      <c r="T897" t="s">
        <v>74</v>
      </c>
      <c r="U897" t="s">
        <v>74</v>
      </c>
      <c r="V897" t="s">
        <v>74</v>
      </c>
      <c r="W897" t="s">
        <v>74</v>
      </c>
      <c r="X897" t="s">
        <v>74</v>
      </c>
      <c r="Y897" t="s">
        <v>74</v>
      </c>
      <c r="Z897" t="s">
        <v>74</v>
      </c>
      <c r="AA897" t="s">
        <v>74</v>
      </c>
      <c r="AB897" t="s">
        <v>8023</v>
      </c>
      <c r="AC897" t="s">
        <v>74</v>
      </c>
      <c r="AD897" t="s">
        <v>74</v>
      </c>
      <c r="AE897" t="s">
        <v>74</v>
      </c>
      <c r="AF897" t="s">
        <v>74</v>
      </c>
      <c r="AG897">
        <v>0</v>
      </c>
      <c r="AH897">
        <v>1</v>
      </c>
      <c r="AI897">
        <v>1</v>
      </c>
      <c r="AJ897">
        <v>0</v>
      </c>
      <c r="AK897">
        <v>8</v>
      </c>
      <c r="AL897" t="s">
        <v>2964</v>
      </c>
      <c r="AM897" t="s">
        <v>2747</v>
      </c>
      <c r="AN897" t="s">
        <v>2965</v>
      </c>
      <c r="AO897" t="s">
        <v>4129</v>
      </c>
      <c r="AP897" t="s">
        <v>74</v>
      </c>
      <c r="AQ897" t="s">
        <v>74</v>
      </c>
      <c r="AR897" t="s">
        <v>4131</v>
      </c>
      <c r="AS897" t="s">
        <v>4132</v>
      </c>
      <c r="AT897" t="s">
        <v>11917</v>
      </c>
      <c r="AU897">
        <v>2008</v>
      </c>
      <c r="AV897">
        <v>20</v>
      </c>
      <c r="AW897">
        <v>1</v>
      </c>
      <c r="AX897" t="s">
        <v>74</v>
      </c>
      <c r="AY897" t="s">
        <v>74</v>
      </c>
      <c r="AZ897" t="s">
        <v>74</v>
      </c>
      <c r="BA897" t="s">
        <v>74</v>
      </c>
      <c r="BB897">
        <v>1</v>
      </c>
      <c r="BC897">
        <v>1</v>
      </c>
      <c r="BD897" t="s">
        <v>74</v>
      </c>
      <c r="BE897" t="s">
        <v>11918</v>
      </c>
      <c r="BF897" t="str">
        <f>HYPERLINK("http://dx.doi.org/10.1017/S0954102008000989","http://dx.doi.org/10.1017/S0954102008000989")</f>
        <v>http://dx.doi.org/10.1017/S0954102008000989</v>
      </c>
      <c r="BG897" t="s">
        <v>74</v>
      </c>
      <c r="BH897" t="s">
        <v>74</v>
      </c>
      <c r="BI897">
        <v>1</v>
      </c>
      <c r="BJ897" t="s">
        <v>4134</v>
      </c>
      <c r="BK897" t="s">
        <v>419</v>
      </c>
      <c r="BL897" t="s">
        <v>4135</v>
      </c>
      <c r="BM897" t="s">
        <v>11919</v>
      </c>
      <c r="BN897" t="s">
        <v>74</v>
      </c>
      <c r="BO897" t="s">
        <v>3290</v>
      </c>
      <c r="BP897" t="s">
        <v>74</v>
      </c>
      <c r="BQ897" t="s">
        <v>74</v>
      </c>
      <c r="BR897" t="s">
        <v>101</v>
      </c>
      <c r="BS897" t="s">
        <v>11920</v>
      </c>
      <c r="BT897" t="str">
        <f>HYPERLINK("https%3A%2F%2Fwww.webofscience.com%2Fwos%2Fwoscc%2Ffull-record%2FWOS:000253173400001","View Full Record in Web of Science")</f>
        <v>View Full Record in Web of Science</v>
      </c>
    </row>
    <row r="898" spans="1:72" x14ac:dyDescent="0.15">
      <c r="A898" t="s">
        <v>72</v>
      </c>
      <c r="B898" t="s">
        <v>11921</v>
      </c>
      <c r="C898" t="s">
        <v>74</v>
      </c>
      <c r="D898" t="s">
        <v>74</v>
      </c>
      <c r="E898" t="s">
        <v>74</v>
      </c>
      <c r="F898" t="s">
        <v>11922</v>
      </c>
      <c r="G898" t="s">
        <v>74</v>
      </c>
      <c r="H898" t="s">
        <v>74</v>
      </c>
      <c r="I898" t="s">
        <v>11923</v>
      </c>
      <c r="J898" t="s">
        <v>4127</v>
      </c>
      <c r="K898" t="s">
        <v>74</v>
      </c>
      <c r="L898" t="s">
        <v>74</v>
      </c>
      <c r="M898" t="s">
        <v>78</v>
      </c>
      <c r="N898" t="s">
        <v>2737</v>
      </c>
      <c r="O898" t="s">
        <v>74</v>
      </c>
      <c r="P898" t="s">
        <v>74</v>
      </c>
      <c r="Q898" t="s">
        <v>74</v>
      </c>
      <c r="R898" t="s">
        <v>74</v>
      </c>
      <c r="S898" t="s">
        <v>74</v>
      </c>
      <c r="T898" t="s">
        <v>11924</v>
      </c>
      <c r="U898" t="s">
        <v>11925</v>
      </c>
      <c r="V898" t="s">
        <v>11926</v>
      </c>
      <c r="W898" t="s">
        <v>11927</v>
      </c>
      <c r="X898" t="s">
        <v>5296</v>
      </c>
      <c r="Y898" t="s">
        <v>11928</v>
      </c>
      <c r="Z898" t="s">
        <v>11929</v>
      </c>
      <c r="AA898" t="s">
        <v>74</v>
      </c>
      <c r="AB898" t="s">
        <v>11930</v>
      </c>
      <c r="AC898" t="s">
        <v>74</v>
      </c>
      <c r="AD898" t="s">
        <v>74</v>
      </c>
      <c r="AE898" t="s">
        <v>74</v>
      </c>
      <c r="AF898" t="s">
        <v>74</v>
      </c>
      <c r="AG898">
        <v>49</v>
      </c>
      <c r="AH898">
        <v>31</v>
      </c>
      <c r="AI898">
        <v>32</v>
      </c>
      <c r="AJ898">
        <v>4</v>
      </c>
      <c r="AK898">
        <v>55</v>
      </c>
      <c r="AL898" t="s">
        <v>2964</v>
      </c>
      <c r="AM898" t="s">
        <v>2747</v>
      </c>
      <c r="AN898" t="s">
        <v>2965</v>
      </c>
      <c r="AO898" t="s">
        <v>4129</v>
      </c>
      <c r="AP898" t="s">
        <v>4130</v>
      </c>
      <c r="AQ898" t="s">
        <v>74</v>
      </c>
      <c r="AR898" t="s">
        <v>4131</v>
      </c>
      <c r="AS898" t="s">
        <v>4132</v>
      </c>
      <c r="AT898" t="s">
        <v>11917</v>
      </c>
      <c r="AU898">
        <v>2008</v>
      </c>
      <c r="AV898">
        <v>20</v>
      </c>
      <c r="AW898">
        <v>1</v>
      </c>
      <c r="AX898" t="s">
        <v>74</v>
      </c>
      <c r="AY898" t="s">
        <v>74</v>
      </c>
      <c r="AZ898" t="s">
        <v>74</v>
      </c>
      <c r="BA898" t="s">
        <v>74</v>
      </c>
      <c r="BB898">
        <v>3</v>
      </c>
      <c r="BC898">
        <v>11</v>
      </c>
      <c r="BD898" t="s">
        <v>74</v>
      </c>
      <c r="BE898" t="s">
        <v>11931</v>
      </c>
      <c r="BF898" t="str">
        <f>HYPERLINK("http://dx.doi.org/10.1017/S0954102007000673","http://dx.doi.org/10.1017/S0954102007000673")</f>
        <v>http://dx.doi.org/10.1017/S0954102007000673</v>
      </c>
      <c r="BG898" t="s">
        <v>74</v>
      </c>
      <c r="BH898" t="s">
        <v>74</v>
      </c>
      <c r="BI898">
        <v>9</v>
      </c>
      <c r="BJ898" t="s">
        <v>4134</v>
      </c>
      <c r="BK898" t="s">
        <v>419</v>
      </c>
      <c r="BL898" t="s">
        <v>4135</v>
      </c>
      <c r="BM898" t="s">
        <v>11919</v>
      </c>
      <c r="BN898" t="s">
        <v>74</v>
      </c>
      <c r="BO898" t="s">
        <v>74</v>
      </c>
      <c r="BP898" t="s">
        <v>74</v>
      </c>
      <c r="BQ898" t="s">
        <v>74</v>
      </c>
      <c r="BR898" t="s">
        <v>101</v>
      </c>
      <c r="BS898" t="s">
        <v>11932</v>
      </c>
      <c r="BT898" t="str">
        <f>HYPERLINK("https%3A%2F%2Fwww.webofscience.com%2Fwos%2Fwoscc%2Ffull-record%2FWOS:000253173400002","View Full Record in Web of Science")</f>
        <v>View Full Record in Web of Science</v>
      </c>
    </row>
    <row r="899" spans="1:72" x14ac:dyDescent="0.15">
      <c r="A899" t="s">
        <v>72</v>
      </c>
      <c r="B899" t="s">
        <v>11933</v>
      </c>
      <c r="C899" t="s">
        <v>74</v>
      </c>
      <c r="D899" t="s">
        <v>74</v>
      </c>
      <c r="E899" t="s">
        <v>74</v>
      </c>
      <c r="F899" t="s">
        <v>11934</v>
      </c>
      <c r="G899" t="s">
        <v>74</v>
      </c>
      <c r="H899" t="s">
        <v>74</v>
      </c>
      <c r="I899" t="s">
        <v>11935</v>
      </c>
      <c r="J899" t="s">
        <v>4127</v>
      </c>
      <c r="K899" t="s">
        <v>74</v>
      </c>
      <c r="L899" t="s">
        <v>74</v>
      </c>
      <c r="M899" t="s">
        <v>78</v>
      </c>
      <c r="N899" t="s">
        <v>2737</v>
      </c>
      <c r="O899" t="s">
        <v>74</v>
      </c>
      <c r="P899" t="s">
        <v>74</v>
      </c>
      <c r="Q899" t="s">
        <v>74</v>
      </c>
      <c r="R899" t="s">
        <v>74</v>
      </c>
      <c r="S899" t="s">
        <v>74</v>
      </c>
      <c r="T899" t="s">
        <v>11936</v>
      </c>
      <c r="U899" t="s">
        <v>11937</v>
      </c>
      <c r="V899" t="s">
        <v>11938</v>
      </c>
      <c r="W899" t="s">
        <v>11939</v>
      </c>
      <c r="X899" t="s">
        <v>11940</v>
      </c>
      <c r="Y899" t="s">
        <v>11941</v>
      </c>
      <c r="Z899" t="s">
        <v>11942</v>
      </c>
      <c r="AA899" t="s">
        <v>11943</v>
      </c>
      <c r="AB899" t="s">
        <v>74</v>
      </c>
      <c r="AC899" t="s">
        <v>74</v>
      </c>
      <c r="AD899" t="s">
        <v>74</v>
      </c>
      <c r="AE899" t="s">
        <v>74</v>
      </c>
      <c r="AF899" t="s">
        <v>74</v>
      </c>
      <c r="AG899">
        <v>40</v>
      </c>
      <c r="AH899">
        <v>25</v>
      </c>
      <c r="AI899">
        <v>25</v>
      </c>
      <c r="AJ899">
        <v>0</v>
      </c>
      <c r="AK899">
        <v>16</v>
      </c>
      <c r="AL899" t="s">
        <v>2964</v>
      </c>
      <c r="AM899" t="s">
        <v>2747</v>
      </c>
      <c r="AN899" t="s">
        <v>2965</v>
      </c>
      <c r="AO899" t="s">
        <v>4129</v>
      </c>
      <c r="AP899" t="s">
        <v>74</v>
      </c>
      <c r="AQ899" t="s">
        <v>74</v>
      </c>
      <c r="AR899" t="s">
        <v>4131</v>
      </c>
      <c r="AS899" t="s">
        <v>4132</v>
      </c>
      <c r="AT899" t="s">
        <v>11917</v>
      </c>
      <c r="AU899">
        <v>2008</v>
      </c>
      <c r="AV899">
        <v>20</v>
      </c>
      <c r="AW899">
        <v>1</v>
      </c>
      <c r="AX899" t="s">
        <v>74</v>
      </c>
      <c r="AY899" t="s">
        <v>74</v>
      </c>
      <c r="AZ899" t="s">
        <v>74</v>
      </c>
      <c r="BA899" t="s">
        <v>74</v>
      </c>
      <c r="BB899">
        <v>13</v>
      </c>
      <c r="BC899">
        <v>20</v>
      </c>
      <c r="BD899" t="s">
        <v>74</v>
      </c>
      <c r="BE899" t="s">
        <v>11944</v>
      </c>
      <c r="BF899" t="str">
        <f>HYPERLINK("http://dx.doi.org/10.1017/S0954102007000739","http://dx.doi.org/10.1017/S0954102007000739")</f>
        <v>http://dx.doi.org/10.1017/S0954102007000739</v>
      </c>
      <c r="BG899" t="s">
        <v>74</v>
      </c>
      <c r="BH899" t="s">
        <v>74</v>
      </c>
      <c r="BI899">
        <v>8</v>
      </c>
      <c r="BJ899" t="s">
        <v>4134</v>
      </c>
      <c r="BK899" t="s">
        <v>419</v>
      </c>
      <c r="BL899" t="s">
        <v>4135</v>
      </c>
      <c r="BM899" t="s">
        <v>11919</v>
      </c>
      <c r="BN899" t="s">
        <v>74</v>
      </c>
      <c r="BO899" t="s">
        <v>74</v>
      </c>
      <c r="BP899" t="s">
        <v>74</v>
      </c>
      <c r="BQ899" t="s">
        <v>74</v>
      </c>
      <c r="BR899" t="s">
        <v>101</v>
      </c>
      <c r="BS899" t="s">
        <v>11945</v>
      </c>
      <c r="BT899" t="str">
        <f>HYPERLINK("https%3A%2F%2Fwww.webofscience.com%2Fwos%2Fwoscc%2Ffull-record%2FWOS:000253173400003","View Full Record in Web of Science")</f>
        <v>View Full Record in Web of Science</v>
      </c>
    </row>
    <row r="900" spans="1:72" x14ac:dyDescent="0.15">
      <c r="A900" t="s">
        <v>72</v>
      </c>
      <c r="B900" t="s">
        <v>11946</v>
      </c>
      <c r="C900" t="s">
        <v>74</v>
      </c>
      <c r="D900" t="s">
        <v>74</v>
      </c>
      <c r="E900" t="s">
        <v>74</v>
      </c>
      <c r="F900" t="s">
        <v>11947</v>
      </c>
      <c r="G900" t="s">
        <v>74</v>
      </c>
      <c r="H900" t="s">
        <v>74</v>
      </c>
      <c r="I900" t="s">
        <v>11948</v>
      </c>
      <c r="J900" t="s">
        <v>4127</v>
      </c>
      <c r="K900" t="s">
        <v>74</v>
      </c>
      <c r="L900" t="s">
        <v>74</v>
      </c>
      <c r="M900" t="s">
        <v>78</v>
      </c>
      <c r="N900" t="s">
        <v>2737</v>
      </c>
      <c r="O900" t="s">
        <v>74</v>
      </c>
      <c r="P900" t="s">
        <v>74</v>
      </c>
      <c r="Q900" t="s">
        <v>74</v>
      </c>
      <c r="R900" t="s">
        <v>74</v>
      </c>
      <c r="S900" t="s">
        <v>74</v>
      </c>
      <c r="T900" t="s">
        <v>11949</v>
      </c>
      <c r="U900" t="s">
        <v>11950</v>
      </c>
      <c r="V900" t="s">
        <v>11951</v>
      </c>
      <c r="W900" t="s">
        <v>11952</v>
      </c>
      <c r="X900" t="s">
        <v>11953</v>
      </c>
      <c r="Y900" t="s">
        <v>11954</v>
      </c>
      <c r="Z900" t="s">
        <v>11955</v>
      </c>
      <c r="AA900" t="s">
        <v>74</v>
      </c>
      <c r="AB900" t="s">
        <v>11956</v>
      </c>
      <c r="AC900" t="s">
        <v>74</v>
      </c>
      <c r="AD900" t="s">
        <v>74</v>
      </c>
      <c r="AE900" t="s">
        <v>74</v>
      </c>
      <c r="AF900" t="s">
        <v>74</v>
      </c>
      <c r="AG900">
        <v>37</v>
      </c>
      <c r="AH900">
        <v>8</v>
      </c>
      <c r="AI900">
        <v>10</v>
      </c>
      <c r="AJ900">
        <v>1</v>
      </c>
      <c r="AK900">
        <v>10</v>
      </c>
      <c r="AL900" t="s">
        <v>2964</v>
      </c>
      <c r="AM900" t="s">
        <v>2747</v>
      </c>
      <c r="AN900" t="s">
        <v>2965</v>
      </c>
      <c r="AO900" t="s">
        <v>4129</v>
      </c>
      <c r="AP900" t="s">
        <v>74</v>
      </c>
      <c r="AQ900" t="s">
        <v>74</v>
      </c>
      <c r="AR900" t="s">
        <v>4131</v>
      </c>
      <c r="AS900" t="s">
        <v>4132</v>
      </c>
      <c r="AT900" t="s">
        <v>11917</v>
      </c>
      <c r="AU900">
        <v>2008</v>
      </c>
      <c r="AV900">
        <v>20</v>
      </c>
      <c r="AW900">
        <v>1</v>
      </c>
      <c r="AX900" t="s">
        <v>74</v>
      </c>
      <c r="AY900" t="s">
        <v>74</v>
      </c>
      <c r="AZ900" t="s">
        <v>74</v>
      </c>
      <c r="BA900" t="s">
        <v>74</v>
      </c>
      <c r="BB900">
        <v>21</v>
      </c>
      <c r="BC900">
        <v>32</v>
      </c>
      <c r="BD900" t="s">
        <v>74</v>
      </c>
      <c r="BE900" t="s">
        <v>11957</v>
      </c>
      <c r="BF900" t="str">
        <f>HYPERLINK("http://dx.doi.org/10.1017/S0954102007000727","http://dx.doi.org/10.1017/S0954102007000727")</f>
        <v>http://dx.doi.org/10.1017/S0954102007000727</v>
      </c>
      <c r="BG900" t="s">
        <v>74</v>
      </c>
      <c r="BH900" t="s">
        <v>74</v>
      </c>
      <c r="BI900">
        <v>12</v>
      </c>
      <c r="BJ900" t="s">
        <v>4134</v>
      </c>
      <c r="BK900" t="s">
        <v>419</v>
      </c>
      <c r="BL900" t="s">
        <v>4135</v>
      </c>
      <c r="BM900" t="s">
        <v>11919</v>
      </c>
      <c r="BN900" t="s">
        <v>74</v>
      </c>
      <c r="BO900" t="s">
        <v>74</v>
      </c>
      <c r="BP900" t="s">
        <v>74</v>
      </c>
      <c r="BQ900" t="s">
        <v>74</v>
      </c>
      <c r="BR900" t="s">
        <v>101</v>
      </c>
      <c r="BS900" t="s">
        <v>11958</v>
      </c>
      <c r="BT900" t="str">
        <f>HYPERLINK("https%3A%2F%2Fwww.webofscience.com%2Fwos%2Fwoscc%2Ffull-record%2FWOS:000253173400004","View Full Record in Web of Science")</f>
        <v>View Full Record in Web of Science</v>
      </c>
    </row>
    <row r="901" spans="1:72" x14ac:dyDescent="0.15">
      <c r="A901" t="s">
        <v>72</v>
      </c>
      <c r="B901" t="s">
        <v>11959</v>
      </c>
      <c r="C901" t="s">
        <v>74</v>
      </c>
      <c r="D901" t="s">
        <v>74</v>
      </c>
      <c r="E901" t="s">
        <v>74</v>
      </c>
      <c r="F901" t="s">
        <v>11960</v>
      </c>
      <c r="G901" t="s">
        <v>74</v>
      </c>
      <c r="H901" t="s">
        <v>74</v>
      </c>
      <c r="I901" t="s">
        <v>11961</v>
      </c>
      <c r="J901" t="s">
        <v>4127</v>
      </c>
      <c r="K901" t="s">
        <v>74</v>
      </c>
      <c r="L901" t="s">
        <v>74</v>
      </c>
      <c r="M901" t="s">
        <v>78</v>
      </c>
      <c r="N901" t="s">
        <v>2737</v>
      </c>
      <c r="O901" t="s">
        <v>74</v>
      </c>
      <c r="P901" t="s">
        <v>74</v>
      </c>
      <c r="Q901" t="s">
        <v>74</v>
      </c>
      <c r="R901" t="s">
        <v>74</v>
      </c>
      <c r="S901" t="s">
        <v>74</v>
      </c>
      <c r="T901" t="s">
        <v>11962</v>
      </c>
      <c r="U901" t="s">
        <v>11963</v>
      </c>
      <c r="V901" t="s">
        <v>11964</v>
      </c>
      <c r="W901" t="s">
        <v>11965</v>
      </c>
      <c r="X901" t="s">
        <v>7088</v>
      </c>
      <c r="Y901" t="s">
        <v>11966</v>
      </c>
      <c r="Z901" t="s">
        <v>11967</v>
      </c>
      <c r="AA901" t="s">
        <v>74</v>
      </c>
      <c r="AB901" t="s">
        <v>11968</v>
      </c>
      <c r="AC901" t="s">
        <v>74</v>
      </c>
      <c r="AD901" t="s">
        <v>74</v>
      </c>
      <c r="AE901" t="s">
        <v>74</v>
      </c>
      <c r="AF901" t="s">
        <v>74</v>
      </c>
      <c r="AG901">
        <v>27</v>
      </c>
      <c r="AH901">
        <v>2</v>
      </c>
      <c r="AI901">
        <v>2</v>
      </c>
      <c r="AJ901">
        <v>0</v>
      </c>
      <c r="AK901">
        <v>12</v>
      </c>
      <c r="AL901" t="s">
        <v>2964</v>
      </c>
      <c r="AM901" t="s">
        <v>2747</v>
      </c>
      <c r="AN901" t="s">
        <v>2965</v>
      </c>
      <c r="AO901" t="s">
        <v>4129</v>
      </c>
      <c r="AP901" t="s">
        <v>4130</v>
      </c>
      <c r="AQ901" t="s">
        <v>74</v>
      </c>
      <c r="AR901" t="s">
        <v>4131</v>
      </c>
      <c r="AS901" t="s">
        <v>4132</v>
      </c>
      <c r="AT901" t="s">
        <v>11917</v>
      </c>
      <c r="AU901">
        <v>2008</v>
      </c>
      <c r="AV901">
        <v>20</v>
      </c>
      <c r="AW901">
        <v>1</v>
      </c>
      <c r="AX901" t="s">
        <v>74</v>
      </c>
      <c r="AY901" t="s">
        <v>74</v>
      </c>
      <c r="AZ901" t="s">
        <v>74</v>
      </c>
      <c r="BA901" t="s">
        <v>74</v>
      </c>
      <c r="BB901">
        <v>33</v>
      </c>
      <c r="BC901">
        <v>37</v>
      </c>
      <c r="BD901" t="s">
        <v>74</v>
      </c>
      <c r="BE901" t="s">
        <v>11969</v>
      </c>
      <c r="BF901" t="str">
        <f>HYPERLINK("http://dx.doi.org/10.1017/S0954102007000806","http://dx.doi.org/10.1017/S0954102007000806")</f>
        <v>http://dx.doi.org/10.1017/S0954102007000806</v>
      </c>
      <c r="BG901" t="s">
        <v>74</v>
      </c>
      <c r="BH901" t="s">
        <v>74</v>
      </c>
      <c r="BI901">
        <v>5</v>
      </c>
      <c r="BJ901" t="s">
        <v>4134</v>
      </c>
      <c r="BK901" t="s">
        <v>419</v>
      </c>
      <c r="BL901" t="s">
        <v>4135</v>
      </c>
      <c r="BM901" t="s">
        <v>11919</v>
      </c>
      <c r="BN901" t="s">
        <v>74</v>
      </c>
      <c r="BO901" t="s">
        <v>74</v>
      </c>
      <c r="BP901" t="s">
        <v>74</v>
      </c>
      <c r="BQ901" t="s">
        <v>74</v>
      </c>
      <c r="BR901" t="s">
        <v>101</v>
      </c>
      <c r="BS901" t="s">
        <v>11970</v>
      </c>
      <c r="BT901" t="str">
        <f>HYPERLINK("https%3A%2F%2Fwww.webofscience.com%2Fwos%2Fwoscc%2Ffull-record%2FWOS:000253173400005","View Full Record in Web of Science")</f>
        <v>View Full Record in Web of Science</v>
      </c>
    </row>
    <row r="902" spans="1:72" x14ac:dyDescent="0.15">
      <c r="A902" t="s">
        <v>72</v>
      </c>
      <c r="B902" t="s">
        <v>11971</v>
      </c>
      <c r="C902" t="s">
        <v>74</v>
      </c>
      <c r="D902" t="s">
        <v>74</v>
      </c>
      <c r="E902" t="s">
        <v>74</v>
      </c>
      <c r="F902" t="s">
        <v>11972</v>
      </c>
      <c r="G902" t="s">
        <v>74</v>
      </c>
      <c r="H902" t="s">
        <v>74</v>
      </c>
      <c r="I902" t="s">
        <v>11973</v>
      </c>
      <c r="J902" t="s">
        <v>4127</v>
      </c>
      <c r="K902" t="s">
        <v>74</v>
      </c>
      <c r="L902" t="s">
        <v>74</v>
      </c>
      <c r="M902" t="s">
        <v>78</v>
      </c>
      <c r="N902" t="s">
        <v>2737</v>
      </c>
      <c r="O902" t="s">
        <v>74</v>
      </c>
      <c r="P902" t="s">
        <v>74</v>
      </c>
      <c r="Q902" t="s">
        <v>74</v>
      </c>
      <c r="R902" t="s">
        <v>74</v>
      </c>
      <c r="S902" t="s">
        <v>74</v>
      </c>
      <c r="T902" t="s">
        <v>11974</v>
      </c>
      <c r="U902" t="s">
        <v>11975</v>
      </c>
      <c r="V902" t="s">
        <v>11976</v>
      </c>
      <c r="W902" t="s">
        <v>11977</v>
      </c>
      <c r="X902" t="s">
        <v>11978</v>
      </c>
      <c r="Y902" t="s">
        <v>11979</v>
      </c>
      <c r="Z902" t="s">
        <v>11980</v>
      </c>
      <c r="AA902" t="s">
        <v>11981</v>
      </c>
      <c r="AB902" t="s">
        <v>11982</v>
      </c>
      <c r="AC902" t="s">
        <v>74</v>
      </c>
      <c r="AD902" t="s">
        <v>74</v>
      </c>
      <c r="AE902" t="s">
        <v>74</v>
      </c>
      <c r="AF902" t="s">
        <v>74</v>
      </c>
      <c r="AG902">
        <v>42</v>
      </c>
      <c r="AH902">
        <v>46</v>
      </c>
      <c r="AI902">
        <v>47</v>
      </c>
      <c r="AJ902">
        <v>0</v>
      </c>
      <c r="AK902">
        <v>24</v>
      </c>
      <c r="AL902" t="s">
        <v>2964</v>
      </c>
      <c r="AM902" t="s">
        <v>2747</v>
      </c>
      <c r="AN902" t="s">
        <v>2965</v>
      </c>
      <c r="AO902" t="s">
        <v>4129</v>
      </c>
      <c r="AP902" t="s">
        <v>74</v>
      </c>
      <c r="AQ902" t="s">
        <v>74</v>
      </c>
      <c r="AR902" t="s">
        <v>4131</v>
      </c>
      <c r="AS902" t="s">
        <v>4132</v>
      </c>
      <c r="AT902" t="s">
        <v>11917</v>
      </c>
      <c r="AU902">
        <v>2008</v>
      </c>
      <c r="AV902">
        <v>20</v>
      </c>
      <c r="AW902">
        <v>1</v>
      </c>
      <c r="AX902" t="s">
        <v>74</v>
      </c>
      <c r="AY902" t="s">
        <v>74</v>
      </c>
      <c r="AZ902" t="s">
        <v>74</v>
      </c>
      <c r="BA902" t="s">
        <v>74</v>
      </c>
      <c r="BB902">
        <v>39</v>
      </c>
      <c r="BC902">
        <v>51</v>
      </c>
      <c r="BD902" t="s">
        <v>74</v>
      </c>
      <c r="BE902" t="s">
        <v>11983</v>
      </c>
      <c r="BF902" t="str">
        <f>HYPERLINK("http://dx.doi.org/10.1017/S0954102007000831","http://dx.doi.org/10.1017/S0954102007000831")</f>
        <v>http://dx.doi.org/10.1017/S0954102007000831</v>
      </c>
      <c r="BG902" t="s">
        <v>74</v>
      </c>
      <c r="BH902" t="s">
        <v>74</v>
      </c>
      <c r="BI902">
        <v>13</v>
      </c>
      <c r="BJ902" t="s">
        <v>4134</v>
      </c>
      <c r="BK902" t="s">
        <v>419</v>
      </c>
      <c r="BL902" t="s">
        <v>4135</v>
      </c>
      <c r="BM902" t="s">
        <v>11919</v>
      </c>
      <c r="BN902" t="s">
        <v>74</v>
      </c>
      <c r="BO902" t="s">
        <v>74</v>
      </c>
      <c r="BP902" t="s">
        <v>74</v>
      </c>
      <c r="BQ902" t="s">
        <v>74</v>
      </c>
      <c r="BR902" t="s">
        <v>101</v>
      </c>
      <c r="BS902" t="s">
        <v>11984</v>
      </c>
      <c r="BT902" t="str">
        <f>HYPERLINK("https%3A%2F%2Fwww.webofscience.com%2Fwos%2Fwoscc%2Ffull-record%2FWOS:000253173400006","View Full Record in Web of Science")</f>
        <v>View Full Record in Web of Science</v>
      </c>
    </row>
    <row r="903" spans="1:72" x14ac:dyDescent="0.15">
      <c r="A903" t="s">
        <v>72</v>
      </c>
      <c r="B903" t="s">
        <v>11985</v>
      </c>
      <c r="C903" t="s">
        <v>74</v>
      </c>
      <c r="D903" t="s">
        <v>74</v>
      </c>
      <c r="E903" t="s">
        <v>74</v>
      </c>
      <c r="F903" t="s">
        <v>11986</v>
      </c>
      <c r="G903" t="s">
        <v>74</v>
      </c>
      <c r="H903" t="s">
        <v>74</v>
      </c>
      <c r="I903" t="s">
        <v>11987</v>
      </c>
      <c r="J903" t="s">
        <v>4127</v>
      </c>
      <c r="K903" t="s">
        <v>74</v>
      </c>
      <c r="L903" t="s">
        <v>74</v>
      </c>
      <c r="M903" t="s">
        <v>78</v>
      </c>
      <c r="N903" t="s">
        <v>2737</v>
      </c>
      <c r="O903" t="s">
        <v>74</v>
      </c>
      <c r="P903" t="s">
        <v>74</v>
      </c>
      <c r="Q903" t="s">
        <v>74</v>
      </c>
      <c r="R903" t="s">
        <v>74</v>
      </c>
      <c r="S903" t="s">
        <v>74</v>
      </c>
      <c r="T903" t="s">
        <v>11988</v>
      </c>
      <c r="U903" t="s">
        <v>11989</v>
      </c>
      <c r="V903" t="s">
        <v>11990</v>
      </c>
      <c r="W903" t="s">
        <v>11991</v>
      </c>
      <c r="X903" t="s">
        <v>11992</v>
      </c>
      <c r="Y903" t="s">
        <v>11993</v>
      </c>
      <c r="Z903" t="s">
        <v>11994</v>
      </c>
      <c r="AA903" t="s">
        <v>11995</v>
      </c>
      <c r="AB903" t="s">
        <v>11996</v>
      </c>
      <c r="AC903" t="s">
        <v>74</v>
      </c>
      <c r="AD903" t="s">
        <v>74</v>
      </c>
      <c r="AE903" t="s">
        <v>74</v>
      </c>
      <c r="AF903" t="s">
        <v>74</v>
      </c>
      <c r="AG903">
        <v>31</v>
      </c>
      <c r="AH903">
        <v>4</v>
      </c>
      <c r="AI903">
        <v>4</v>
      </c>
      <c r="AJ903">
        <v>0</v>
      </c>
      <c r="AK903">
        <v>13</v>
      </c>
      <c r="AL903" t="s">
        <v>2964</v>
      </c>
      <c r="AM903" t="s">
        <v>2747</v>
      </c>
      <c r="AN903" t="s">
        <v>2965</v>
      </c>
      <c r="AO903" t="s">
        <v>4129</v>
      </c>
      <c r="AP903" t="s">
        <v>74</v>
      </c>
      <c r="AQ903" t="s">
        <v>74</v>
      </c>
      <c r="AR903" t="s">
        <v>4131</v>
      </c>
      <c r="AS903" t="s">
        <v>4132</v>
      </c>
      <c r="AT903" t="s">
        <v>11917</v>
      </c>
      <c r="AU903">
        <v>2008</v>
      </c>
      <c r="AV903">
        <v>20</v>
      </c>
      <c r="AW903">
        <v>1</v>
      </c>
      <c r="AX903" t="s">
        <v>74</v>
      </c>
      <c r="AY903" t="s">
        <v>74</v>
      </c>
      <c r="AZ903" t="s">
        <v>74</v>
      </c>
      <c r="BA903" t="s">
        <v>74</v>
      </c>
      <c r="BB903">
        <v>53</v>
      </c>
      <c r="BC903">
        <v>59</v>
      </c>
      <c r="BD903" t="s">
        <v>74</v>
      </c>
      <c r="BE903" t="s">
        <v>11997</v>
      </c>
      <c r="BF903" t="str">
        <f>HYPERLINK("http://dx.doi.org/10.1017/S0954102007000843","http://dx.doi.org/10.1017/S0954102007000843")</f>
        <v>http://dx.doi.org/10.1017/S0954102007000843</v>
      </c>
      <c r="BG903" t="s">
        <v>74</v>
      </c>
      <c r="BH903" t="s">
        <v>74</v>
      </c>
      <c r="BI903">
        <v>7</v>
      </c>
      <c r="BJ903" t="s">
        <v>4134</v>
      </c>
      <c r="BK903" t="s">
        <v>419</v>
      </c>
      <c r="BL903" t="s">
        <v>4135</v>
      </c>
      <c r="BM903" t="s">
        <v>11919</v>
      </c>
      <c r="BN903" t="s">
        <v>74</v>
      </c>
      <c r="BO903" t="s">
        <v>74</v>
      </c>
      <c r="BP903" t="s">
        <v>74</v>
      </c>
      <c r="BQ903" t="s">
        <v>74</v>
      </c>
      <c r="BR903" t="s">
        <v>101</v>
      </c>
      <c r="BS903" t="s">
        <v>11998</v>
      </c>
      <c r="BT903" t="str">
        <f>HYPERLINK("https%3A%2F%2Fwww.webofscience.com%2Fwos%2Fwoscc%2Ffull-record%2FWOS:000253173400007","View Full Record in Web of Science")</f>
        <v>View Full Record in Web of Science</v>
      </c>
    </row>
    <row r="904" spans="1:72" x14ac:dyDescent="0.15">
      <c r="A904" t="s">
        <v>72</v>
      </c>
      <c r="B904" t="s">
        <v>11999</v>
      </c>
      <c r="C904" t="s">
        <v>74</v>
      </c>
      <c r="D904" t="s">
        <v>74</v>
      </c>
      <c r="E904" t="s">
        <v>74</v>
      </c>
      <c r="F904" t="s">
        <v>12000</v>
      </c>
      <c r="G904" t="s">
        <v>74</v>
      </c>
      <c r="H904" t="s">
        <v>74</v>
      </c>
      <c r="I904" t="s">
        <v>12001</v>
      </c>
      <c r="J904" t="s">
        <v>4127</v>
      </c>
      <c r="K904" t="s">
        <v>74</v>
      </c>
      <c r="L904" t="s">
        <v>74</v>
      </c>
      <c r="M904" t="s">
        <v>78</v>
      </c>
      <c r="N904" t="s">
        <v>2737</v>
      </c>
      <c r="O904" t="s">
        <v>74</v>
      </c>
      <c r="P904" t="s">
        <v>74</v>
      </c>
      <c r="Q904" t="s">
        <v>74</v>
      </c>
      <c r="R904" t="s">
        <v>74</v>
      </c>
      <c r="S904" t="s">
        <v>74</v>
      </c>
      <c r="T904" t="s">
        <v>12002</v>
      </c>
      <c r="U904" t="s">
        <v>12003</v>
      </c>
      <c r="V904" t="s">
        <v>12004</v>
      </c>
      <c r="W904" t="s">
        <v>12005</v>
      </c>
      <c r="X904" t="s">
        <v>9401</v>
      </c>
      <c r="Y904" t="s">
        <v>12006</v>
      </c>
      <c r="Z904" t="s">
        <v>12007</v>
      </c>
      <c r="AA904" t="s">
        <v>74</v>
      </c>
      <c r="AB904" t="s">
        <v>74</v>
      </c>
      <c r="AC904" t="s">
        <v>74</v>
      </c>
      <c r="AD904" t="s">
        <v>74</v>
      </c>
      <c r="AE904" t="s">
        <v>74</v>
      </c>
      <c r="AF904" t="s">
        <v>74</v>
      </c>
      <c r="AG904">
        <v>27</v>
      </c>
      <c r="AH904">
        <v>18</v>
      </c>
      <c r="AI904">
        <v>21</v>
      </c>
      <c r="AJ904">
        <v>3</v>
      </c>
      <c r="AK904">
        <v>17</v>
      </c>
      <c r="AL904" t="s">
        <v>2964</v>
      </c>
      <c r="AM904" t="s">
        <v>2747</v>
      </c>
      <c r="AN904" t="s">
        <v>2965</v>
      </c>
      <c r="AO904" t="s">
        <v>4129</v>
      </c>
      <c r="AP904" t="s">
        <v>4130</v>
      </c>
      <c r="AQ904" t="s">
        <v>74</v>
      </c>
      <c r="AR904" t="s">
        <v>4131</v>
      </c>
      <c r="AS904" t="s">
        <v>4132</v>
      </c>
      <c r="AT904" t="s">
        <v>11917</v>
      </c>
      <c r="AU904">
        <v>2008</v>
      </c>
      <c r="AV904">
        <v>20</v>
      </c>
      <c r="AW904">
        <v>1</v>
      </c>
      <c r="AX904" t="s">
        <v>74</v>
      </c>
      <c r="AY904" t="s">
        <v>74</v>
      </c>
      <c r="AZ904" t="s">
        <v>74</v>
      </c>
      <c r="BA904" t="s">
        <v>74</v>
      </c>
      <c r="BB904">
        <v>61</v>
      </c>
      <c r="BC904">
        <v>67</v>
      </c>
      <c r="BD904" t="s">
        <v>74</v>
      </c>
      <c r="BE904" t="s">
        <v>12008</v>
      </c>
      <c r="BF904" t="str">
        <f>HYPERLINK("http://dx.doi.org/10.1017/S0954102007000685","http://dx.doi.org/10.1017/S0954102007000685")</f>
        <v>http://dx.doi.org/10.1017/S0954102007000685</v>
      </c>
      <c r="BG904" t="s">
        <v>74</v>
      </c>
      <c r="BH904" t="s">
        <v>74</v>
      </c>
      <c r="BI904">
        <v>7</v>
      </c>
      <c r="BJ904" t="s">
        <v>4134</v>
      </c>
      <c r="BK904" t="s">
        <v>419</v>
      </c>
      <c r="BL904" t="s">
        <v>4135</v>
      </c>
      <c r="BM904" t="s">
        <v>11919</v>
      </c>
      <c r="BN904" t="s">
        <v>74</v>
      </c>
      <c r="BO904" t="s">
        <v>3290</v>
      </c>
      <c r="BP904" t="s">
        <v>74</v>
      </c>
      <c r="BQ904" t="s">
        <v>74</v>
      </c>
      <c r="BR904" t="s">
        <v>101</v>
      </c>
      <c r="BS904" t="s">
        <v>12009</v>
      </c>
      <c r="BT904" t="str">
        <f>HYPERLINK("https%3A%2F%2Fwww.webofscience.com%2Fwos%2Fwoscc%2Ffull-record%2FWOS:000253173400008","View Full Record in Web of Science")</f>
        <v>View Full Record in Web of Science</v>
      </c>
    </row>
    <row r="905" spans="1:72" x14ac:dyDescent="0.15">
      <c r="A905" t="s">
        <v>72</v>
      </c>
      <c r="B905" t="s">
        <v>12010</v>
      </c>
      <c r="C905" t="s">
        <v>74</v>
      </c>
      <c r="D905" t="s">
        <v>74</v>
      </c>
      <c r="E905" t="s">
        <v>74</v>
      </c>
      <c r="F905" t="s">
        <v>12011</v>
      </c>
      <c r="G905" t="s">
        <v>74</v>
      </c>
      <c r="H905" t="s">
        <v>74</v>
      </c>
      <c r="I905" t="s">
        <v>12012</v>
      </c>
      <c r="J905" t="s">
        <v>4127</v>
      </c>
      <c r="K905" t="s">
        <v>74</v>
      </c>
      <c r="L905" t="s">
        <v>74</v>
      </c>
      <c r="M905" t="s">
        <v>78</v>
      </c>
      <c r="N905" t="s">
        <v>2737</v>
      </c>
      <c r="O905" t="s">
        <v>74</v>
      </c>
      <c r="P905" t="s">
        <v>74</v>
      </c>
      <c r="Q905" t="s">
        <v>74</v>
      </c>
      <c r="R905" t="s">
        <v>74</v>
      </c>
      <c r="S905" t="s">
        <v>74</v>
      </c>
      <c r="T905" t="s">
        <v>12013</v>
      </c>
      <c r="U905" t="s">
        <v>12014</v>
      </c>
      <c r="V905" t="s">
        <v>12015</v>
      </c>
      <c r="W905" t="s">
        <v>12016</v>
      </c>
      <c r="X905" t="s">
        <v>12017</v>
      </c>
      <c r="Y905" t="s">
        <v>12018</v>
      </c>
      <c r="Z905" t="s">
        <v>12019</v>
      </c>
      <c r="AA905" t="s">
        <v>8430</v>
      </c>
      <c r="AB905" t="s">
        <v>74</v>
      </c>
      <c r="AC905" t="s">
        <v>74</v>
      </c>
      <c r="AD905" t="s">
        <v>74</v>
      </c>
      <c r="AE905" t="s">
        <v>74</v>
      </c>
      <c r="AF905" t="s">
        <v>74</v>
      </c>
      <c r="AG905">
        <v>96</v>
      </c>
      <c r="AH905">
        <v>51</v>
      </c>
      <c r="AI905">
        <v>59</v>
      </c>
      <c r="AJ905">
        <v>1</v>
      </c>
      <c r="AK905">
        <v>14</v>
      </c>
      <c r="AL905" t="s">
        <v>2964</v>
      </c>
      <c r="AM905" t="s">
        <v>2747</v>
      </c>
      <c r="AN905" t="s">
        <v>2965</v>
      </c>
      <c r="AO905" t="s">
        <v>4129</v>
      </c>
      <c r="AP905" t="s">
        <v>4130</v>
      </c>
      <c r="AQ905" t="s">
        <v>74</v>
      </c>
      <c r="AR905" t="s">
        <v>4131</v>
      </c>
      <c r="AS905" t="s">
        <v>4132</v>
      </c>
      <c r="AT905" t="s">
        <v>11917</v>
      </c>
      <c r="AU905">
        <v>2008</v>
      </c>
      <c r="AV905">
        <v>20</v>
      </c>
      <c r="AW905">
        <v>1</v>
      </c>
      <c r="AX905" t="s">
        <v>74</v>
      </c>
      <c r="AY905" t="s">
        <v>74</v>
      </c>
      <c r="AZ905" t="s">
        <v>74</v>
      </c>
      <c r="BA905" t="s">
        <v>74</v>
      </c>
      <c r="BB905">
        <v>69</v>
      </c>
      <c r="BC905">
        <v>87</v>
      </c>
      <c r="BD905" t="s">
        <v>74</v>
      </c>
      <c r="BE905" t="s">
        <v>12020</v>
      </c>
      <c r="BF905" t="str">
        <f>HYPERLINK("http://dx.doi.org/10.1017/S0954102007000788","http://dx.doi.org/10.1017/S0954102007000788")</f>
        <v>http://dx.doi.org/10.1017/S0954102007000788</v>
      </c>
      <c r="BG905" t="s">
        <v>74</v>
      </c>
      <c r="BH905" t="s">
        <v>74</v>
      </c>
      <c r="BI905">
        <v>19</v>
      </c>
      <c r="BJ905" t="s">
        <v>4134</v>
      </c>
      <c r="BK905" t="s">
        <v>419</v>
      </c>
      <c r="BL905" t="s">
        <v>4135</v>
      </c>
      <c r="BM905" t="s">
        <v>11919</v>
      </c>
      <c r="BN905" t="s">
        <v>74</v>
      </c>
      <c r="BO905" t="s">
        <v>74</v>
      </c>
      <c r="BP905" t="s">
        <v>74</v>
      </c>
      <c r="BQ905" t="s">
        <v>74</v>
      </c>
      <c r="BR905" t="s">
        <v>101</v>
      </c>
      <c r="BS905" t="s">
        <v>12021</v>
      </c>
      <c r="BT905" t="str">
        <f>HYPERLINK("https%3A%2F%2Fwww.webofscience.com%2Fwos%2Fwoscc%2Ffull-record%2FWOS:000253173400009","View Full Record in Web of Science")</f>
        <v>View Full Record in Web of Science</v>
      </c>
    </row>
    <row r="906" spans="1:72" x14ac:dyDescent="0.15">
      <c r="A906" t="s">
        <v>72</v>
      </c>
      <c r="B906" t="s">
        <v>12022</v>
      </c>
      <c r="C906" t="s">
        <v>74</v>
      </c>
      <c r="D906" t="s">
        <v>74</v>
      </c>
      <c r="E906" t="s">
        <v>74</v>
      </c>
      <c r="F906" t="s">
        <v>12023</v>
      </c>
      <c r="G906" t="s">
        <v>74</v>
      </c>
      <c r="H906" t="s">
        <v>74</v>
      </c>
      <c r="I906" t="s">
        <v>12024</v>
      </c>
      <c r="J906" t="s">
        <v>4127</v>
      </c>
      <c r="K906" t="s">
        <v>74</v>
      </c>
      <c r="L906" t="s">
        <v>74</v>
      </c>
      <c r="M906" t="s">
        <v>78</v>
      </c>
      <c r="N906" t="s">
        <v>2737</v>
      </c>
      <c r="O906" t="s">
        <v>74</v>
      </c>
      <c r="P906" t="s">
        <v>74</v>
      </c>
      <c r="Q906" t="s">
        <v>74</v>
      </c>
      <c r="R906" t="s">
        <v>74</v>
      </c>
      <c r="S906" t="s">
        <v>74</v>
      </c>
      <c r="T906" t="s">
        <v>12025</v>
      </c>
      <c r="U906" t="s">
        <v>12026</v>
      </c>
      <c r="V906" t="s">
        <v>12027</v>
      </c>
      <c r="W906" t="s">
        <v>12028</v>
      </c>
      <c r="X906" t="s">
        <v>12029</v>
      </c>
      <c r="Y906" t="s">
        <v>12030</v>
      </c>
      <c r="Z906" t="s">
        <v>12031</v>
      </c>
      <c r="AA906" t="s">
        <v>12032</v>
      </c>
      <c r="AB906" t="s">
        <v>12033</v>
      </c>
      <c r="AC906" t="s">
        <v>74</v>
      </c>
      <c r="AD906" t="s">
        <v>74</v>
      </c>
      <c r="AE906" t="s">
        <v>74</v>
      </c>
      <c r="AF906" t="s">
        <v>74</v>
      </c>
      <c r="AG906">
        <v>33</v>
      </c>
      <c r="AH906">
        <v>26</v>
      </c>
      <c r="AI906">
        <v>27</v>
      </c>
      <c r="AJ906">
        <v>0</v>
      </c>
      <c r="AK906">
        <v>7</v>
      </c>
      <c r="AL906" t="s">
        <v>2964</v>
      </c>
      <c r="AM906" t="s">
        <v>2747</v>
      </c>
      <c r="AN906" t="s">
        <v>2965</v>
      </c>
      <c r="AO906" t="s">
        <v>4129</v>
      </c>
      <c r="AP906" t="s">
        <v>4130</v>
      </c>
      <c r="AQ906" t="s">
        <v>74</v>
      </c>
      <c r="AR906" t="s">
        <v>4131</v>
      </c>
      <c r="AS906" t="s">
        <v>4132</v>
      </c>
      <c r="AT906" t="s">
        <v>11917</v>
      </c>
      <c r="AU906">
        <v>2008</v>
      </c>
      <c r="AV906">
        <v>20</v>
      </c>
      <c r="AW906">
        <v>1</v>
      </c>
      <c r="AX906" t="s">
        <v>74</v>
      </c>
      <c r="AY906" t="s">
        <v>74</v>
      </c>
      <c r="AZ906" t="s">
        <v>74</v>
      </c>
      <c r="BA906" t="s">
        <v>74</v>
      </c>
      <c r="BB906">
        <v>89</v>
      </c>
      <c r="BC906">
        <v>98</v>
      </c>
      <c r="BD906" t="s">
        <v>74</v>
      </c>
      <c r="BE906" t="s">
        <v>12034</v>
      </c>
      <c r="BF906" t="str">
        <f>HYPERLINK("http://dx.doi.org/10.1017/S095410200700079X","http://dx.doi.org/10.1017/S095410200700079X")</f>
        <v>http://dx.doi.org/10.1017/S095410200700079X</v>
      </c>
      <c r="BG906" t="s">
        <v>74</v>
      </c>
      <c r="BH906" t="s">
        <v>74</v>
      </c>
      <c r="BI906">
        <v>10</v>
      </c>
      <c r="BJ906" t="s">
        <v>4134</v>
      </c>
      <c r="BK906" t="s">
        <v>419</v>
      </c>
      <c r="BL906" t="s">
        <v>4135</v>
      </c>
      <c r="BM906" t="s">
        <v>11919</v>
      </c>
      <c r="BN906" t="s">
        <v>74</v>
      </c>
      <c r="BO906" t="s">
        <v>12035</v>
      </c>
      <c r="BP906" t="s">
        <v>74</v>
      </c>
      <c r="BQ906" t="s">
        <v>74</v>
      </c>
      <c r="BR906" t="s">
        <v>101</v>
      </c>
      <c r="BS906" t="s">
        <v>12036</v>
      </c>
      <c r="BT906" t="str">
        <f>HYPERLINK("https%3A%2F%2Fwww.webofscience.com%2Fwos%2Fwoscc%2Ffull-record%2FWOS:000253173400010","View Full Record in Web of Science")</f>
        <v>View Full Record in Web of Science</v>
      </c>
    </row>
    <row r="907" spans="1:72" x14ac:dyDescent="0.15">
      <c r="A907" t="s">
        <v>72</v>
      </c>
      <c r="B907" t="s">
        <v>12037</v>
      </c>
      <c r="C907" t="s">
        <v>74</v>
      </c>
      <c r="D907" t="s">
        <v>74</v>
      </c>
      <c r="E907" t="s">
        <v>74</v>
      </c>
      <c r="F907" t="s">
        <v>12038</v>
      </c>
      <c r="G907" t="s">
        <v>74</v>
      </c>
      <c r="H907" t="s">
        <v>74</v>
      </c>
      <c r="I907" t="s">
        <v>12039</v>
      </c>
      <c r="J907" t="s">
        <v>4127</v>
      </c>
      <c r="K907" t="s">
        <v>74</v>
      </c>
      <c r="L907" t="s">
        <v>74</v>
      </c>
      <c r="M907" t="s">
        <v>78</v>
      </c>
      <c r="N907" t="s">
        <v>2737</v>
      </c>
      <c r="O907" t="s">
        <v>74</v>
      </c>
      <c r="P907" t="s">
        <v>74</v>
      </c>
      <c r="Q907" t="s">
        <v>74</v>
      </c>
      <c r="R907" t="s">
        <v>74</v>
      </c>
      <c r="S907" t="s">
        <v>74</v>
      </c>
      <c r="T907" t="s">
        <v>12040</v>
      </c>
      <c r="U907" t="s">
        <v>12041</v>
      </c>
      <c r="V907" t="s">
        <v>12042</v>
      </c>
      <c r="W907" t="s">
        <v>12043</v>
      </c>
      <c r="X907" t="s">
        <v>12044</v>
      </c>
      <c r="Y907" t="s">
        <v>12045</v>
      </c>
      <c r="Z907" t="s">
        <v>12046</v>
      </c>
      <c r="AA907" t="s">
        <v>74</v>
      </c>
      <c r="AB907" t="s">
        <v>74</v>
      </c>
      <c r="AC907" t="s">
        <v>74</v>
      </c>
      <c r="AD907" t="s">
        <v>74</v>
      </c>
      <c r="AE907" t="s">
        <v>74</v>
      </c>
      <c r="AF907" t="s">
        <v>74</v>
      </c>
      <c r="AG907">
        <v>25</v>
      </c>
      <c r="AH907">
        <v>13</v>
      </c>
      <c r="AI907">
        <v>13</v>
      </c>
      <c r="AJ907">
        <v>0</v>
      </c>
      <c r="AK907">
        <v>5</v>
      </c>
      <c r="AL907" t="s">
        <v>2964</v>
      </c>
      <c r="AM907" t="s">
        <v>2747</v>
      </c>
      <c r="AN907" t="s">
        <v>2965</v>
      </c>
      <c r="AO907" t="s">
        <v>4129</v>
      </c>
      <c r="AP907" t="s">
        <v>4130</v>
      </c>
      <c r="AQ907" t="s">
        <v>74</v>
      </c>
      <c r="AR907" t="s">
        <v>4131</v>
      </c>
      <c r="AS907" t="s">
        <v>4132</v>
      </c>
      <c r="AT907" t="s">
        <v>11917</v>
      </c>
      <c r="AU907">
        <v>2008</v>
      </c>
      <c r="AV907">
        <v>20</v>
      </c>
      <c r="AW907">
        <v>1</v>
      </c>
      <c r="AX907" t="s">
        <v>74</v>
      </c>
      <c r="AY907" t="s">
        <v>74</v>
      </c>
      <c r="AZ907" t="s">
        <v>74</v>
      </c>
      <c r="BA907" t="s">
        <v>74</v>
      </c>
      <c r="BB907">
        <v>99</v>
      </c>
      <c r="BC907">
        <v>111</v>
      </c>
      <c r="BD907" t="s">
        <v>74</v>
      </c>
      <c r="BE907" t="s">
        <v>12047</v>
      </c>
      <c r="BF907" t="str">
        <f>HYPERLINK("http://dx.doi.org/10.1017/S095410200700082X","http://dx.doi.org/10.1017/S095410200700082X")</f>
        <v>http://dx.doi.org/10.1017/S095410200700082X</v>
      </c>
      <c r="BG907" t="s">
        <v>74</v>
      </c>
      <c r="BH907" t="s">
        <v>74</v>
      </c>
      <c r="BI907">
        <v>13</v>
      </c>
      <c r="BJ907" t="s">
        <v>4134</v>
      </c>
      <c r="BK907" t="s">
        <v>419</v>
      </c>
      <c r="BL907" t="s">
        <v>4135</v>
      </c>
      <c r="BM907" t="s">
        <v>11919</v>
      </c>
      <c r="BN907" t="s">
        <v>74</v>
      </c>
      <c r="BO907" t="s">
        <v>74</v>
      </c>
      <c r="BP907" t="s">
        <v>74</v>
      </c>
      <c r="BQ907" t="s">
        <v>74</v>
      </c>
      <c r="BR907" t="s">
        <v>101</v>
      </c>
      <c r="BS907" t="s">
        <v>12048</v>
      </c>
      <c r="BT907" t="str">
        <f>HYPERLINK("https%3A%2F%2Fwww.webofscience.com%2Fwos%2Fwoscc%2Ffull-record%2FWOS:000253173400011","View Full Record in Web of Science")</f>
        <v>View Full Record in Web of Science</v>
      </c>
    </row>
    <row r="908" spans="1:72" x14ac:dyDescent="0.15">
      <c r="A908" t="s">
        <v>72</v>
      </c>
      <c r="B908" t="s">
        <v>12049</v>
      </c>
      <c r="C908" t="s">
        <v>74</v>
      </c>
      <c r="D908" t="s">
        <v>74</v>
      </c>
      <c r="E908" t="s">
        <v>74</v>
      </c>
      <c r="F908" t="s">
        <v>12050</v>
      </c>
      <c r="G908" t="s">
        <v>74</v>
      </c>
      <c r="H908" t="s">
        <v>74</v>
      </c>
      <c r="I908" t="s">
        <v>12051</v>
      </c>
      <c r="J908" t="s">
        <v>5977</v>
      </c>
      <c r="K908" t="s">
        <v>74</v>
      </c>
      <c r="L908" t="s">
        <v>74</v>
      </c>
      <c r="M908" t="s">
        <v>78</v>
      </c>
      <c r="N908" t="s">
        <v>2737</v>
      </c>
      <c r="O908" t="s">
        <v>74</v>
      </c>
      <c r="P908" t="s">
        <v>74</v>
      </c>
      <c r="Q908" t="s">
        <v>74</v>
      </c>
      <c r="R908" t="s">
        <v>74</v>
      </c>
      <c r="S908" t="s">
        <v>74</v>
      </c>
      <c r="T908" t="s">
        <v>74</v>
      </c>
      <c r="U908" t="s">
        <v>12052</v>
      </c>
      <c r="V908" t="s">
        <v>12053</v>
      </c>
      <c r="W908" t="s">
        <v>12054</v>
      </c>
      <c r="X908" t="s">
        <v>12055</v>
      </c>
      <c r="Y908" t="s">
        <v>12056</v>
      </c>
      <c r="Z908" t="s">
        <v>12057</v>
      </c>
      <c r="AA908" t="s">
        <v>74</v>
      </c>
      <c r="AB908" t="s">
        <v>74</v>
      </c>
      <c r="AC908" t="s">
        <v>74</v>
      </c>
      <c r="AD908" t="s">
        <v>74</v>
      </c>
      <c r="AE908" t="s">
        <v>74</v>
      </c>
      <c r="AF908" t="s">
        <v>74</v>
      </c>
      <c r="AG908">
        <v>77</v>
      </c>
      <c r="AH908">
        <v>9</v>
      </c>
      <c r="AI908">
        <v>9</v>
      </c>
      <c r="AJ908">
        <v>0</v>
      </c>
      <c r="AK908">
        <v>10</v>
      </c>
      <c r="AL908" t="s">
        <v>2815</v>
      </c>
      <c r="AM908" t="s">
        <v>2816</v>
      </c>
      <c r="AN908" t="s">
        <v>2817</v>
      </c>
      <c r="AO908" t="s">
        <v>5986</v>
      </c>
      <c r="AP908" t="s">
        <v>5987</v>
      </c>
      <c r="AQ908" t="s">
        <v>74</v>
      </c>
      <c r="AR908" t="s">
        <v>5988</v>
      </c>
      <c r="AS908" t="s">
        <v>5989</v>
      </c>
      <c r="AT908" t="s">
        <v>11917</v>
      </c>
      <c r="AU908">
        <v>2008</v>
      </c>
      <c r="AV908">
        <v>40</v>
      </c>
      <c r="AW908">
        <v>1</v>
      </c>
      <c r="AX908" t="s">
        <v>74</v>
      </c>
      <c r="AY908" t="s">
        <v>74</v>
      </c>
      <c r="AZ908" t="s">
        <v>74</v>
      </c>
      <c r="BA908" t="s">
        <v>74</v>
      </c>
      <c r="BB908">
        <v>1</v>
      </c>
      <c r="BC908">
        <v>14</v>
      </c>
      <c r="BD908" t="s">
        <v>74</v>
      </c>
      <c r="BE908" t="s">
        <v>12058</v>
      </c>
      <c r="BF908" t="str">
        <f>HYPERLINK("http://dx.doi.org/10.1657/1523-0430(05-072)[ANDREWS]2.0.CO;2","http://dx.doi.org/10.1657/1523-0430(05-072)[ANDREWS]2.0.CO;2")</f>
        <v>http://dx.doi.org/10.1657/1523-0430(05-072)[ANDREWS]2.0.CO;2</v>
      </c>
      <c r="BG908" t="s">
        <v>74</v>
      </c>
      <c r="BH908" t="s">
        <v>74</v>
      </c>
      <c r="BI908">
        <v>14</v>
      </c>
      <c r="BJ908" t="s">
        <v>5991</v>
      </c>
      <c r="BK908" t="s">
        <v>419</v>
      </c>
      <c r="BL908" t="s">
        <v>5992</v>
      </c>
      <c r="BM908" t="s">
        <v>12059</v>
      </c>
      <c r="BN908" t="s">
        <v>74</v>
      </c>
      <c r="BO908" t="s">
        <v>6104</v>
      </c>
      <c r="BP908" t="s">
        <v>74</v>
      </c>
      <c r="BQ908" t="s">
        <v>74</v>
      </c>
      <c r="BR908" t="s">
        <v>101</v>
      </c>
      <c r="BS908" t="s">
        <v>12060</v>
      </c>
      <c r="BT908" t="str">
        <f>HYPERLINK("https%3A%2F%2Fwww.webofscience.com%2Fwos%2Fwoscc%2Ffull-record%2FWOS:000252869000001","View Full Record in Web of Science")</f>
        <v>View Full Record in Web of Science</v>
      </c>
    </row>
    <row r="909" spans="1:72" x14ac:dyDescent="0.15">
      <c r="A909" t="s">
        <v>72</v>
      </c>
      <c r="B909" t="s">
        <v>12061</v>
      </c>
      <c r="C909" t="s">
        <v>74</v>
      </c>
      <c r="D909" t="s">
        <v>74</v>
      </c>
      <c r="E909" t="s">
        <v>74</v>
      </c>
      <c r="F909" t="s">
        <v>12062</v>
      </c>
      <c r="G909" t="s">
        <v>74</v>
      </c>
      <c r="H909" t="s">
        <v>74</v>
      </c>
      <c r="I909" t="s">
        <v>12063</v>
      </c>
      <c r="J909" t="s">
        <v>5977</v>
      </c>
      <c r="K909" t="s">
        <v>74</v>
      </c>
      <c r="L909" t="s">
        <v>74</v>
      </c>
      <c r="M909" t="s">
        <v>78</v>
      </c>
      <c r="N909" t="s">
        <v>2737</v>
      </c>
      <c r="O909" t="s">
        <v>74</v>
      </c>
      <c r="P909" t="s">
        <v>74</v>
      </c>
      <c r="Q909" t="s">
        <v>74</v>
      </c>
      <c r="R909" t="s">
        <v>74</v>
      </c>
      <c r="S909" t="s">
        <v>74</v>
      </c>
      <c r="T909" t="s">
        <v>74</v>
      </c>
      <c r="U909" t="s">
        <v>12064</v>
      </c>
      <c r="V909" t="s">
        <v>12065</v>
      </c>
      <c r="W909" t="s">
        <v>12066</v>
      </c>
      <c r="X909" t="s">
        <v>74</v>
      </c>
      <c r="Y909" t="s">
        <v>12067</v>
      </c>
      <c r="Z909" t="s">
        <v>74</v>
      </c>
      <c r="AA909" t="s">
        <v>74</v>
      </c>
      <c r="AB909" t="s">
        <v>74</v>
      </c>
      <c r="AC909" t="s">
        <v>74</v>
      </c>
      <c r="AD909" t="s">
        <v>74</v>
      </c>
      <c r="AE909" t="s">
        <v>74</v>
      </c>
      <c r="AF909" t="s">
        <v>74</v>
      </c>
      <c r="AG909">
        <v>62</v>
      </c>
      <c r="AH909">
        <v>33</v>
      </c>
      <c r="AI909">
        <v>37</v>
      </c>
      <c r="AJ909">
        <v>0</v>
      </c>
      <c r="AK909">
        <v>11</v>
      </c>
      <c r="AL909" t="s">
        <v>6004</v>
      </c>
      <c r="AM909" t="s">
        <v>6005</v>
      </c>
      <c r="AN909" t="s">
        <v>6006</v>
      </c>
      <c r="AO909" t="s">
        <v>5986</v>
      </c>
      <c r="AP909" t="s">
        <v>5987</v>
      </c>
      <c r="AQ909" t="s">
        <v>74</v>
      </c>
      <c r="AR909" t="s">
        <v>5988</v>
      </c>
      <c r="AS909" t="s">
        <v>5989</v>
      </c>
      <c r="AT909" t="s">
        <v>11917</v>
      </c>
      <c r="AU909">
        <v>2008</v>
      </c>
      <c r="AV909">
        <v>40</v>
      </c>
      <c r="AW909">
        <v>1</v>
      </c>
      <c r="AX909" t="s">
        <v>74</v>
      </c>
      <c r="AY909" t="s">
        <v>74</v>
      </c>
      <c r="AZ909" t="s">
        <v>74</v>
      </c>
      <c r="BA909" t="s">
        <v>74</v>
      </c>
      <c r="BB909">
        <v>15</v>
      </c>
      <c r="BC909">
        <v>26</v>
      </c>
      <c r="BD909" t="s">
        <v>74</v>
      </c>
      <c r="BE909" t="s">
        <v>12068</v>
      </c>
      <c r="BF909" t="str">
        <f>HYPERLINK("http://dx.doi.org/10.1657/1523-0430(06-030)[BENEDICT]2.0.CO;2","http://dx.doi.org/10.1657/1523-0430(06-030)[BENEDICT]2.0.CO;2")</f>
        <v>http://dx.doi.org/10.1657/1523-0430(06-030)[BENEDICT]2.0.CO;2</v>
      </c>
      <c r="BG909" t="s">
        <v>74</v>
      </c>
      <c r="BH909" t="s">
        <v>74</v>
      </c>
      <c r="BI909">
        <v>12</v>
      </c>
      <c r="BJ909" t="s">
        <v>5991</v>
      </c>
      <c r="BK909" t="s">
        <v>419</v>
      </c>
      <c r="BL909" t="s">
        <v>5992</v>
      </c>
      <c r="BM909" t="s">
        <v>12059</v>
      </c>
      <c r="BN909" t="s">
        <v>74</v>
      </c>
      <c r="BO909" t="s">
        <v>6104</v>
      </c>
      <c r="BP909" t="s">
        <v>74</v>
      </c>
      <c r="BQ909" t="s">
        <v>74</v>
      </c>
      <c r="BR909" t="s">
        <v>101</v>
      </c>
      <c r="BS909" t="s">
        <v>12069</v>
      </c>
      <c r="BT909" t="str">
        <f>HYPERLINK("https%3A%2F%2Fwww.webofscience.com%2Fwos%2Fwoscc%2Ffull-record%2FWOS:000252869000002","View Full Record in Web of Science")</f>
        <v>View Full Record in Web of Science</v>
      </c>
    </row>
    <row r="910" spans="1:72" x14ac:dyDescent="0.15">
      <c r="A910" t="s">
        <v>72</v>
      </c>
      <c r="B910" t="s">
        <v>12070</v>
      </c>
      <c r="C910" t="s">
        <v>74</v>
      </c>
      <c r="D910" t="s">
        <v>74</v>
      </c>
      <c r="E910" t="s">
        <v>74</v>
      </c>
      <c r="F910" t="s">
        <v>12071</v>
      </c>
      <c r="G910" t="s">
        <v>74</v>
      </c>
      <c r="H910" t="s">
        <v>74</v>
      </c>
      <c r="I910" t="s">
        <v>12072</v>
      </c>
      <c r="J910" t="s">
        <v>5977</v>
      </c>
      <c r="K910" t="s">
        <v>74</v>
      </c>
      <c r="L910" t="s">
        <v>74</v>
      </c>
      <c r="M910" t="s">
        <v>78</v>
      </c>
      <c r="N910" t="s">
        <v>2737</v>
      </c>
      <c r="O910" t="s">
        <v>74</v>
      </c>
      <c r="P910" t="s">
        <v>74</v>
      </c>
      <c r="Q910" t="s">
        <v>74</v>
      </c>
      <c r="R910" t="s">
        <v>74</v>
      </c>
      <c r="S910" t="s">
        <v>74</v>
      </c>
      <c r="T910" t="s">
        <v>74</v>
      </c>
      <c r="U910" t="s">
        <v>12073</v>
      </c>
      <c r="V910" t="s">
        <v>12074</v>
      </c>
      <c r="W910" t="s">
        <v>12075</v>
      </c>
      <c r="X910" t="s">
        <v>12076</v>
      </c>
      <c r="Y910" t="s">
        <v>12077</v>
      </c>
      <c r="Z910" t="s">
        <v>12078</v>
      </c>
      <c r="AA910" t="s">
        <v>74</v>
      </c>
      <c r="AB910" t="s">
        <v>74</v>
      </c>
      <c r="AC910" t="s">
        <v>74</v>
      </c>
      <c r="AD910" t="s">
        <v>74</v>
      </c>
      <c r="AE910" t="s">
        <v>74</v>
      </c>
      <c r="AF910" t="s">
        <v>74</v>
      </c>
      <c r="AG910">
        <v>52</v>
      </c>
      <c r="AH910">
        <v>82</v>
      </c>
      <c r="AI910">
        <v>113</v>
      </c>
      <c r="AJ910">
        <v>3</v>
      </c>
      <c r="AK910">
        <v>123</v>
      </c>
      <c r="AL910" t="s">
        <v>2815</v>
      </c>
      <c r="AM910" t="s">
        <v>2816</v>
      </c>
      <c r="AN910" t="s">
        <v>2817</v>
      </c>
      <c r="AO910" t="s">
        <v>5986</v>
      </c>
      <c r="AP910" t="s">
        <v>5987</v>
      </c>
      <c r="AQ910" t="s">
        <v>74</v>
      </c>
      <c r="AR910" t="s">
        <v>5988</v>
      </c>
      <c r="AS910" t="s">
        <v>5989</v>
      </c>
      <c r="AT910" t="s">
        <v>11917</v>
      </c>
      <c r="AU910">
        <v>2008</v>
      </c>
      <c r="AV910">
        <v>40</v>
      </c>
      <c r="AW910">
        <v>1</v>
      </c>
      <c r="AX910" t="s">
        <v>74</v>
      </c>
      <c r="AY910" t="s">
        <v>74</v>
      </c>
      <c r="AZ910" t="s">
        <v>74</v>
      </c>
      <c r="BA910" t="s">
        <v>74</v>
      </c>
      <c r="BB910">
        <v>27</v>
      </c>
      <c r="BC910">
        <v>38</v>
      </c>
      <c r="BD910" t="s">
        <v>74</v>
      </c>
      <c r="BE910" t="s">
        <v>12079</v>
      </c>
      <c r="BF910" t="str">
        <f>HYPERLINK("http://dx.doi.org/10.1657/1523-0430(06-099)[BORNER]2.0.CO;2","http://dx.doi.org/10.1657/1523-0430(06-099)[BORNER]2.0.CO;2")</f>
        <v>http://dx.doi.org/10.1657/1523-0430(06-099)[BORNER]2.0.CO;2</v>
      </c>
      <c r="BG910" t="s">
        <v>74</v>
      </c>
      <c r="BH910" t="s">
        <v>74</v>
      </c>
      <c r="BI910">
        <v>12</v>
      </c>
      <c r="BJ910" t="s">
        <v>5991</v>
      </c>
      <c r="BK910" t="s">
        <v>419</v>
      </c>
      <c r="BL910" t="s">
        <v>5992</v>
      </c>
      <c r="BM910" t="s">
        <v>12059</v>
      </c>
      <c r="BN910" t="s">
        <v>74</v>
      </c>
      <c r="BO910" t="s">
        <v>6104</v>
      </c>
      <c r="BP910" t="s">
        <v>74</v>
      </c>
      <c r="BQ910" t="s">
        <v>74</v>
      </c>
      <c r="BR910" t="s">
        <v>101</v>
      </c>
      <c r="BS910" t="s">
        <v>12080</v>
      </c>
      <c r="BT910" t="str">
        <f>HYPERLINK("https%3A%2F%2Fwww.webofscience.com%2Fwos%2Fwoscc%2Ffull-record%2FWOS:000252869000003","View Full Record in Web of Science")</f>
        <v>View Full Record in Web of Science</v>
      </c>
    </row>
    <row r="911" spans="1:72" x14ac:dyDescent="0.15">
      <c r="A911" t="s">
        <v>72</v>
      </c>
      <c r="B911" t="s">
        <v>12081</v>
      </c>
      <c r="C911" t="s">
        <v>74</v>
      </c>
      <c r="D911" t="s">
        <v>74</v>
      </c>
      <c r="E911" t="s">
        <v>74</v>
      </c>
      <c r="F911" t="s">
        <v>12082</v>
      </c>
      <c r="G911" t="s">
        <v>74</v>
      </c>
      <c r="H911" t="s">
        <v>74</v>
      </c>
      <c r="I911" t="s">
        <v>12083</v>
      </c>
      <c r="J911" t="s">
        <v>5977</v>
      </c>
      <c r="K911" t="s">
        <v>74</v>
      </c>
      <c r="L911" t="s">
        <v>74</v>
      </c>
      <c r="M911" t="s">
        <v>78</v>
      </c>
      <c r="N911" t="s">
        <v>2737</v>
      </c>
      <c r="O911" t="s">
        <v>74</v>
      </c>
      <c r="P911" t="s">
        <v>74</v>
      </c>
      <c r="Q911" t="s">
        <v>74</v>
      </c>
      <c r="R911" t="s">
        <v>74</v>
      </c>
      <c r="S911" t="s">
        <v>74</v>
      </c>
      <c r="T911" t="s">
        <v>74</v>
      </c>
      <c r="U911" t="s">
        <v>12084</v>
      </c>
      <c r="V911" t="s">
        <v>12085</v>
      </c>
      <c r="W911" t="s">
        <v>12086</v>
      </c>
      <c r="X911" t="s">
        <v>12087</v>
      </c>
      <c r="Y911" t="s">
        <v>12088</v>
      </c>
      <c r="Z911" t="s">
        <v>12089</v>
      </c>
      <c r="AA911" t="s">
        <v>74</v>
      </c>
      <c r="AB911" t="s">
        <v>74</v>
      </c>
      <c r="AC911" t="s">
        <v>74</v>
      </c>
      <c r="AD911" t="s">
        <v>74</v>
      </c>
      <c r="AE911" t="s">
        <v>74</v>
      </c>
      <c r="AF911" t="s">
        <v>74</v>
      </c>
      <c r="AG911">
        <v>43</v>
      </c>
      <c r="AH911">
        <v>25</v>
      </c>
      <c r="AI911">
        <v>30</v>
      </c>
      <c r="AJ911">
        <v>0</v>
      </c>
      <c r="AK911">
        <v>26</v>
      </c>
      <c r="AL911" t="s">
        <v>6004</v>
      </c>
      <c r="AM911" t="s">
        <v>6005</v>
      </c>
      <c r="AN911" t="s">
        <v>6006</v>
      </c>
      <c r="AO911" t="s">
        <v>5986</v>
      </c>
      <c r="AP911" t="s">
        <v>5987</v>
      </c>
      <c r="AQ911" t="s">
        <v>74</v>
      </c>
      <c r="AR911" t="s">
        <v>5988</v>
      </c>
      <c r="AS911" t="s">
        <v>5989</v>
      </c>
      <c r="AT911" t="s">
        <v>11917</v>
      </c>
      <c r="AU911">
        <v>2008</v>
      </c>
      <c r="AV911">
        <v>40</v>
      </c>
      <c r="AW911">
        <v>1</v>
      </c>
      <c r="AX911" t="s">
        <v>74</v>
      </c>
      <c r="AY911" t="s">
        <v>74</v>
      </c>
      <c r="AZ911" t="s">
        <v>74</v>
      </c>
      <c r="BA911" t="s">
        <v>74</v>
      </c>
      <c r="BB911">
        <v>39</v>
      </c>
      <c r="BC911">
        <v>47</v>
      </c>
      <c r="BD911" t="s">
        <v>74</v>
      </c>
      <c r="BE911" t="s">
        <v>12090</v>
      </c>
      <c r="BF911" t="str">
        <f>HYPERLINK("http://dx.doi.org/10.1657/1523-0430(06-080)[CARLSON]2.0.CO;2","http://dx.doi.org/10.1657/1523-0430(06-080)[CARLSON]2.0.CO;2")</f>
        <v>http://dx.doi.org/10.1657/1523-0430(06-080)[CARLSON]2.0.CO;2</v>
      </c>
      <c r="BG911" t="s">
        <v>74</v>
      </c>
      <c r="BH911" t="s">
        <v>74</v>
      </c>
      <c r="BI911">
        <v>9</v>
      </c>
      <c r="BJ911" t="s">
        <v>5991</v>
      </c>
      <c r="BK911" t="s">
        <v>419</v>
      </c>
      <c r="BL911" t="s">
        <v>5992</v>
      </c>
      <c r="BM911" t="s">
        <v>12059</v>
      </c>
      <c r="BN911" t="s">
        <v>74</v>
      </c>
      <c r="BO911" t="s">
        <v>6104</v>
      </c>
      <c r="BP911" t="s">
        <v>74</v>
      </c>
      <c r="BQ911" t="s">
        <v>74</v>
      </c>
      <c r="BR911" t="s">
        <v>101</v>
      </c>
      <c r="BS911" t="s">
        <v>12091</v>
      </c>
      <c r="BT911" t="str">
        <f>HYPERLINK("https%3A%2F%2Fwww.webofscience.com%2Fwos%2Fwoscc%2Ffull-record%2FWOS:000252869000004","View Full Record in Web of Science")</f>
        <v>View Full Record in Web of Science</v>
      </c>
    </row>
    <row r="912" spans="1:72" x14ac:dyDescent="0.15">
      <c r="A912" t="s">
        <v>72</v>
      </c>
      <c r="B912" t="s">
        <v>12092</v>
      </c>
      <c r="C912" t="s">
        <v>74</v>
      </c>
      <c r="D912" t="s">
        <v>74</v>
      </c>
      <c r="E912" t="s">
        <v>74</v>
      </c>
      <c r="F912" t="s">
        <v>12093</v>
      </c>
      <c r="G912" t="s">
        <v>74</v>
      </c>
      <c r="H912" t="s">
        <v>74</v>
      </c>
      <c r="I912" t="s">
        <v>12094</v>
      </c>
      <c r="J912" t="s">
        <v>5977</v>
      </c>
      <c r="K912" t="s">
        <v>74</v>
      </c>
      <c r="L912" t="s">
        <v>74</v>
      </c>
      <c r="M912" t="s">
        <v>78</v>
      </c>
      <c r="N912" t="s">
        <v>2737</v>
      </c>
      <c r="O912" t="s">
        <v>74</v>
      </c>
      <c r="P912" t="s">
        <v>74</v>
      </c>
      <c r="Q912" t="s">
        <v>74</v>
      </c>
      <c r="R912" t="s">
        <v>74</v>
      </c>
      <c r="S912" t="s">
        <v>74</v>
      </c>
      <c r="T912" t="s">
        <v>74</v>
      </c>
      <c r="U912" t="s">
        <v>12095</v>
      </c>
      <c r="V912" t="s">
        <v>12096</v>
      </c>
      <c r="W912" t="s">
        <v>12097</v>
      </c>
      <c r="X912" t="s">
        <v>12098</v>
      </c>
      <c r="Y912" t="s">
        <v>12077</v>
      </c>
      <c r="Z912" t="s">
        <v>12099</v>
      </c>
      <c r="AA912" t="s">
        <v>74</v>
      </c>
      <c r="AB912" t="s">
        <v>74</v>
      </c>
      <c r="AC912" t="s">
        <v>74</v>
      </c>
      <c r="AD912" t="s">
        <v>74</v>
      </c>
      <c r="AE912" t="s">
        <v>74</v>
      </c>
      <c r="AF912" t="s">
        <v>74</v>
      </c>
      <c r="AG912">
        <v>49</v>
      </c>
      <c r="AH912">
        <v>37</v>
      </c>
      <c r="AI912">
        <v>49</v>
      </c>
      <c r="AJ912">
        <v>0</v>
      </c>
      <c r="AK912">
        <v>46</v>
      </c>
      <c r="AL912" t="s">
        <v>2815</v>
      </c>
      <c r="AM912" t="s">
        <v>2816</v>
      </c>
      <c r="AN912" t="s">
        <v>2817</v>
      </c>
      <c r="AO912" t="s">
        <v>5986</v>
      </c>
      <c r="AP912" t="s">
        <v>5987</v>
      </c>
      <c r="AQ912" t="s">
        <v>74</v>
      </c>
      <c r="AR912" t="s">
        <v>5988</v>
      </c>
      <c r="AS912" t="s">
        <v>5989</v>
      </c>
      <c r="AT912" t="s">
        <v>11917</v>
      </c>
      <c r="AU912">
        <v>2008</v>
      </c>
      <c r="AV912">
        <v>40</v>
      </c>
      <c r="AW912">
        <v>1</v>
      </c>
      <c r="AX912" t="s">
        <v>74</v>
      </c>
      <c r="AY912" t="s">
        <v>74</v>
      </c>
      <c r="AZ912" t="s">
        <v>74</v>
      </c>
      <c r="BA912" t="s">
        <v>74</v>
      </c>
      <c r="BB912">
        <v>48</v>
      </c>
      <c r="BC912">
        <v>54</v>
      </c>
      <c r="BD912" t="s">
        <v>74</v>
      </c>
      <c r="BE912" t="s">
        <v>12100</v>
      </c>
      <c r="BF912" t="str">
        <f>HYPERLINK("http://dx.doi.org/10.1657/1523-0430(06-073)[CEBRIAN]2.0.CO;2","http://dx.doi.org/10.1657/1523-0430(06-073)[CEBRIAN]2.0.CO;2")</f>
        <v>http://dx.doi.org/10.1657/1523-0430(06-073)[CEBRIAN]2.0.CO;2</v>
      </c>
      <c r="BG912" t="s">
        <v>74</v>
      </c>
      <c r="BH912" t="s">
        <v>74</v>
      </c>
      <c r="BI912">
        <v>7</v>
      </c>
      <c r="BJ912" t="s">
        <v>5991</v>
      </c>
      <c r="BK912" t="s">
        <v>419</v>
      </c>
      <c r="BL912" t="s">
        <v>5992</v>
      </c>
      <c r="BM912" t="s">
        <v>12059</v>
      </c>
      <c r="BN912" t="s">
        <v>74</v>
      </c>
      <c r="BO912" t="s">
        <v>3110</v>
      </c>
      <c r="BP912" t="s">
        <v>74</v>
      </c>
      <c r="BQ912" t="s">
        <v>74</v>
      </c>
      <c r="BR912" t="s">
        <v>101</v>
      </c>
      <c r="BS912" t="s">
        <v>12101</v>
      </c>
      <c r="BT912" t="str">
        <f>HYPERLINK("https%3A%2F%2Fwww.webofscience.com%2Fwos%2Fwoscc%2Ffull-record%2FWOS:000252869000005","View Full Record in Web of Science")</f>
        <v>View Full Record in Web of Science</v>
      </c>
    </row>
    <row r="913" spans="1:72" x14ac:dyDescent="0.15">
      <c r="A913" t="s">
        <v>72</v>
      </c>
      <c r="B913" t="s">
        <v>12102</v>
      </c>
      <c r="C913" t="s">
        <v>74</v>
      </c>
      <c r="D913" t="s">
        <v>74</v>
      </c>
      <c r="E913" t="s">
        <v>74</v>
      </c>
      <c r="F913" t="s">
        <v>12103</v>
      </c>
      <c r="G913" t="s">
        <v>74</v>
      </c>
      <c r="H913" t="s">
        <v>74</v>
      </c>
      <c r="I913" t="s">
        <v>12104</v>
      </c>
      <c r="J913" t="s">
        <v>5977</v>
      </c>
      <c r="K913" t="s">
        <v>74</v>
      </c>
      <c r="L913" t="s">
        <v>74</v>
      </c>
      <c r="M913" t="s">
        <v>78</v>
      </c>
      <c r="N913" t="s">
        <v>2737</v>
      </c>
      <c r="O913" t="s">
        <v>74</v>
      </c>
      <c r="P913" t="s">
        <v>74</v>
      </c>
      <c r="Q913" t="s">
        <v>74</v>
      </c>
      <c r="R913" t="s">
        <v>74</v>
      </c>
      <c r="S913" t="s">
        <v>74</v>
      </c>
      <c r="T913" t="s">
        <v>74</v>
      </c>
      <c r="U913" t="s">
        <v>12105</v>
      </c>
      <c r="V913" t="s">
        <v>12106</v>
      </c>
      <c r="W913" t="s">
        <v>12107</v>
      </c>
      <c r="X913" t="s">
        <v>11499</v>
      </c>
      <c r="Y913" t="s">
        <v>12108</v>
      </c>
      <c r="Z913" t="s">
        <v>12109</v>
      </c>
      <c r="AA913" t="s">
        <v>12110</v>
      </c>
      <c r="AB913" t="s">
        <v>12111</v>
      </c>
      <c r="AC913" t="s">
        <v>74</v>
      </c>
      <c r="AD913" t="s">
        <v>74</v>
      </c>
      <c r="AE913" t="s">
        <v>74</v>
      </c>
      <c r="AF913" t="s">
        <v>74</v>
      </c>
      <c r="AG913">
        <v>51</v>
      </c>
      <c r="AH913">
        <v>31</v>
      </c>
      <c r="AI913">
        <v>44</v>
      </c>
      <c r="AJ913">
        <v>1</v>
      </c>
      <c r="AK913">
        <v>42</v>
      </c>
      <c r="AL913" t="s">
        <v>6004</v>
      </c>
      <c r="AM913" t="s">
        <v>6005</v>
      </c>
      <c r="AN913" t="s">
        <v>6006</v>
      </c>
      <c r="AO913" t="s">
        <v>5986</v>
      </c>
      <c r="AP913" t="s">
        <v>5987</v>
      </c>
      <c r="AQ913" t="s">
        <v>74</v>
      </c>
      <c r="AR913" t="s">
        <v>5988</v>
      </c>
      <c r="AS913" t="s">
        <v>5989</v>
      </c>
      <c r="AT913" t="s">
        <v>11917</v>
      </c>
      <c r="AU913">
        <v>2008</v>
      </c>
      <c r="AV913">
        <v>40</v>
      </c>
      <c r="AW913">
        <v>1</v>
      </c>
      <c r="AX913" t="s">
        <v>74</v>
      </c>
      <c r="AY913" t="s">
        <v>74</v>
      </c>
      <c r="AZ913" t="s">
        <v>74</v>
      </c>
      <c r="BA913" t="s">
        <v>74</v>
      </c>
      <c r="BB913">
        <v>55</v>
      </c>
      <c r="BC913">
        <v>64</v>
      </c>
      <c r="BD913" t="s">
        <v>74</v>
      </c>
      <c r="BE913" t="s">
        <v>12112</v>
      </c>
      <c r="BF913" t="str">
        <f>HYPERLINK("http://dx.doi.org/10.1657/1523-0430(07-002)[GARDNER]2.0.CO;2","http://dx.doi.org/10.1657/1523-0430(07-002)[GARDNER]2.0.CO;2")</f>
        <v>http://dx.doi.org/10.1657/1523-0430(07-002)[GARDNER]2.0.CO;2</v>
      </c>
      <c r="BG913" t="s">
        <v>74</v>
      </c>
      <c r="BH913" t="s">
        <v>74</v>
      </c>
      <c r="BI913">
        <v>10</v>
      </c>
      <c r="BJ913" t="s">
        <v>5991</v>
      </c>
      <c r="BK913" t="s">
        <v>419</v>
      </c>
      <c r="BL913" t="s">
        <v>5992</v>
      </c>
      <c r="BM913" t="s">
        <v>12059</v>
      </c>
      <c r="BN913" t="s">
        <v>74</v>
      </c>
      <c r="BO913" t="s">
        <v>6104</v>
      </c>
      <c r="BP913" t="s">
        <v>74</v>
      </c>
      <c r="BQ913" t="s">
        <v>74</v>
      </c>
      <c r="BR913" t="s">
        <v>101</v>
      </c>
      <c r="BS913" t="s">
        <v>12113</v>
      </c>
      <c r="BT913" t="str">
        <f>HYPERLINK("https%3A%2F%2Fwww.webofscience.com%2Fwos%2Fwoscc%2Ffull-record%2FWOS:000252869000006","View Full Record in Web of Science")</f>
        <v>View Full Record in Web of Science</v>
      </c>
    </row>
    <row r="914" spans="1:72" x14ac:dyDescent="0.15">
      <c r="A914" t="s">
        <v>72</v>
      </c>
      <c r="B914" t="s">
        <v>12114</v>
      </c>
      <c r="C914" t="s">
        <v>74</v>
      </c>
      <c r="D914" t="s">
        <v>74</v>
      </c>
      <c r="E914" t="s">
        <v>74</v>
      </c>
      <c r="F914" t="s">
        <v>12115</v>
      </c>
      <c r="G914" t="s">
        <v>74</v>
      </c>
      <c r="H914" t="s">
        <v>74</v>
      </c>
      <c r="I914" t="s">
        <v>12116</v>
      </c>
      <c r="J914" t="s">
        <v>5977</v>
      </c>
      <c r="K914" t="s">
        <v>74</v>
      </c>
      <c r="L914" t="s">
        <v>74</v>
      </c>
      <c r="M914" t="s">
        <v>78</v>
      </c>
      <c r="N914" t="s">
        <v>2737</v>
      </c>
      <c r="O914" t="s">
        <v>74</v>
      </c>
      <c r="P914" t="s">
        <v>74</v>
      </c>
      <c r="Q914" t="s">
        <v>74</v>
      </c>
      <c r="R914" t="s">
        <v>74</v>
      </c>
      <c r="S914" t="s">
        <v>74</v>
      </c>
      <c r="T914" t="s">
        <v>74</v>
      </c>
      <c r="U914" t="s">
        <v>12117</v>
      </c>
      <c r="V914" t="s">
        <v>12118</v>
      </c>
      <c r="W914" t="s">
        <v>12119</v>
      </c>
      <c r="X914" t="s">
        <v>12120</v>
      </c>
      <c r="Y914" t="s">
        <v>12121</v>
      </c>
      <c r="Z914" t="s">
        <v>12122</v>
      </c>
      <c r="AA914" t="s">
        <v>74</v>
      </c>
      <c r="AB914" t="s">
        <v>74</v>
      </c>
      <c r="AC914" t="s">
        <v>74</v>
      </c>
      <c r="AD914" t="s">
        <v>74</v>
      </c>
      <c r="AE914" t="s">
        <v>74</v>
      </c>
      <c r="AF914" t="s">
        <v>74</v>
      </c>
      <c r="AG914">
        <v>34</v>
      </c>
      <c r="AH914">
        <v>26</v>
      </c>
      <c r="AI914">
        <v>34</v>
      </c>
      <c r="AJ914">
        <v>2</v>
      </c>
      <c r="AK914">
        <v>60</v>
      </c>
      <c r="AL914" t="s">
        <v>6004</v>
      </c>
      <c r="AM914" t="s">
        <v>6005</v>
      </c>
      <c r="AN914" t="s">
        <v>6006</v>
      </c>
      <c r="AO914" t="s">
        <v>5986</v>
      </c>
      <c r="AP914" t="s">
        <v>74</v>
      </c>
      <c r="AQ914" t="s">
        <v>74</v>
      </c>
      <c r="AR914" t="s">
        <v>5988</v>
      </c>
      <c r="AS914" t="s">
        <v>5989</v>
      </c>
      <c r="AT914" t="s">
        <v>11917</v>
      </c>
      <c r="AU914">
        <v>2008</v>
      </c>
      <c r="AV914">
        <v>40</v>
      </c>
      <c r="AW914">
        <v>1</v>
      </c>
      <c r="AX914" t="s">
        <v>74</v>
      </c>
      <c r="AY914" t="s">
        <v>74</v>
      </c>
      <c r="AZ914" t="s">
        <v>74</v>
      </c>
      <c r="BA914" t="s">
        <v>74</v>
      </c>
      <c r="BB914">
        <v>65</v>
      </c>
      <c r="BC914">
        <v>73</v>
      </c>
      <c r="BD914" t="s">
        <v>74</v>
      </c>
      <c r="BE914" t="s">
        <v>12123</v>
      </c>
      <c r="BF914" t="str">
        <f>HYPERLINK("http://dx.doi.org/10.1657/1523-0430(06-087)[GOUGH]2.0.CO;2","http://dx.doi.org/10.1657/1523-0430(06-087)[GOUGH]2.0.CO;2")</f>
        <v>http://dx.doi.org/10.1657/1523-0430(06-087)[GOUGH]2.0.CO;2</v>
      </c>
      <c r="BG914" t="s">
        <v>74</v>
      </c>
      <c r="BH914" t="s">
        <v>74</v>
      </c>
      <c r="BI914">
        <v>9</v>
      </c>
      <c r="BJ914" t="s">
        <v>5991</v>
      </c>
      <c r="BK914" t="s">
        <v>419</v>
      </c>
      <c r="BL914" t="s">
        <v>5992</v>
      </c>
      <c r="BM914" t="s">
        <v>12059</v>
      </c>
      <c r="BN914" t="s">
        <v>74</v>
      </c>
      <c r="BO914" t="s">
        <v>3110</v>
      </c>
      <c r="BP914" t="s">
        <v>74</v>
      </c>
      <c r="BQ914" t="s">
        <v>74</v>
      </c>
      <c r="BR914" t="s">
        <v>101</v>
      </c>
      <c r="BS914" t="s">
        <v>12124</v>
      </c>
      <c r="BT914" t="str">
        <f>HYPERLINK("https%3A%2F%2Fwww.webofscience.com%2Fwos%2Fwoscc%2Ffull-record%2FWOS:000252869000007","View Full Record in Web of Science")</f>
        <v>View Full Record in Web of Science</v>
      </c>
    </row>
    <row r="915" spans="1:72" x14ac:dyDescent="0.15">
      <c r="A915" t="s">
        <v>72</v>
      </c>
      <c r="B915" t="s">
        <v>12125</v>
      </c>
      <c r="C915" t="s">
        <v>74</v>
      </c>
      <c r="D915" t="s">
        <v>74</v>
      </c>
      <c r="E915" t="s">
        <v>74</v>
      </c>
      <c r="F915" t="s">
        <v>12126</v>
      </c>
      <c r="G915" t="s">
        <v>74</v>
      </c>
      <c r="H915" t="s">
        <v>74</v>
      </c>
      <c r="I915" t="s">
        <v>12127</v>
      </c>
      <c r="J915" t="s">
        <v>5977</v>
      </c>
      <c r="K915" t="s">
        <v>74</v>
      </c>
      <c r="L915" t="s">
        <v>74</v>
      </c>
      <c r="M915" t="s">
        <v>78</v>
      </c>
      <c r="N915" t="s">
        <v>2737</v>
      </c>
      <c r="O915" t="s">
        <v>74</v>
      </c>
      <c r="P915" t="s">
        <v>74</v>
      </c>
      <c r="Q915" t="s">
        <v>74</v>
      </c>
      <c r="R915" t="s">
        <v>74</v>
      </c>
      <c r="S915" t="s">
        <v>74</v>
      </c>
      <c r="T915" t="s">
        <v>74</v>
      </c>
      <c r="U915" t="s">
        <v>12128</v>
      </c>
      <c r="V915" t="s">
        <v>12129</v>
      </c>
      <c r="W915" t="s">
        <v>12130</v>
      </c>
      <c r="X915" t="s">
        <v>74</v>
      </c>
      <c r="Y915" t="s">
        <v>12131</v>
      </c>
      <c r="Z915" t="s">
        <v>12132</v>
      </c>
      <c r="AA915" t="s">
        <v>74</v>
      </c>
      <c r="AB915" t="s">
        <v>74</v>
      </c>
      <c r="AC915" t="s">
        <v>74</v>
      </c>
      <c r="AD915" t="s">
        <v>74</v>
      </c>
      <c r="AE915" t="s">
        <v>74</v>
      </c>
      <c r="AF915" t="s">
        <v>74</v>
      </c>
      <c r="AG915">
        <v>25</v>
      </c>
      <c r="AH915">
        <v>15</v>
      </c>
      <c r="AI915">
        <v>24</v>
      </c>
      <c r="AJ915">
        <v>0</v>
      </c>
      <c r="AK915">
        <v>16</v>
      </c>
      <c r="AL915" t="s">
        <v>6004</v>
      </c>
      <c r="AM915" t="s">
        <v>6005</v>
      </c>
      <c r="AN915" t="s">
        <v>6006</v>
      </c>
      <c r="AO915" t="s">
        <v>5986</v>
      </c>
      <c r="AP915" t="s">
        <v>74</v>
      </c>
      <c r="AQ915" t="s">
        <v>74</v>
      </c>
      <c r="AR915" t="s">
        <v>5988</v>
      </c>
      <c r="AS915" t="s">
        <v>5989</v>
      </c>
      <c r="AT915" t="s">
        <v>11917</v>
      </c>
      <c r="AU915">
        <v>2008</v>
      </c>
      <c r="AV915">
        <v>40</v>
      </c>
      <c r="AW915">
        <v>1</v>
      </c>
      <c r="AX915" t="s">
        <v>74</v>
      </c>
      <c r="AY915" t="s">
        <v>74</v>
      </c>
      <c r="AZ915" t="s">
        <v>74</v>
      </c>
      <c r="BA915" t="s">
        <v>74</v>
      </c>
      <c r="BB915">
        <v>74</v>
      </c>
      <c r="BC915">
        <v>80</v>
      </c>
      <c r="BD915" t="s">
        <v>74</v>
      </c>
      <c r="BE915" t="s">
        <v>12133</v>
      </c>
      <c r="BF915" t="str">
        <f>HYPERLINK("http://dx.doi.org/10.1657/1523-0430(06-100)[GREEN]2.0.CO;2","http://dx.doi.org/10.1657/1523-0430(06-100)[GREEN]2.0.CO;2")</f>
        <v>http://dx.doi.org/10.1657/1523-0430(06-100)[GREEN]2.0.CO;2</v>
      </c>
      <c r="BG915" t="s">
        <v>74</v>
      </c>
      <c r="BH915" t="s">
        <v>74</v>
      </c>
      <c r="BI915">
        <v>7</v>
      </c>
      <c r="BJ915" t="s">
        <v>5991</v>
      </c>
      <c r="BK915" t="s">
        <v>419</v>
      </c>
      <c r="BL915" t="s">
        <v>5992</v>
      </c>
      <c r="BM915" t="s">
        <v>12059</v>
      </c>
      <c r="BN915" t="s">
        <v>74</v>
      </c>
      <c r="BO915" t="s">
        <v>4015</v>
      </c>
      <c r="BP915" t="s">
        <v>74</v>
      </c>
      <c r="BQ915" t="s">
        <v>74</v>
      </c>
      <c r="BR915" t="s">
        <v>101</v>
      </c>
      <c r="BS915" t="s">
        <v>12134</v>
      </c>
      <c r="BT915" t="str">
        <f>HYPERLINK("https%3A%2F%2Fwww.webofscience.com%2Fwos%2Fwoscc%2Ffull-record%2FWOS:000252869000008","View Full Record in Web of Science")</f>
        <v>View Full Record in Web of Science</v>
      </c>
    </row>
    <row r="916" spans="1:72" x14ac:dyDescent="0.15">
      <c r="A916" t="s">
        <v>72</v>
      </c>
      <c r="B916" t="s">
        <v>12135</v>
      </c>
      <c r="C916" t="s">
        <v>74</v>
      </c>
      <c r="D916" t="s">
        <v>74</v>
      </c>
      <c r="E916" t="s">
        <v>74</v>
      </c>
      <c r="F916" t="s">
        <v>12136</v>
      </c>
      <c r="G916" t="s">
        <v>74</v>
      </c>
      <c r="H916" t="s">
        <v>74</v>
      </c>
      <c r="I916" t="s">
        <v>12137</v>
      </c>
      <c r="J916" t="s">
        <v>5977</v>
      </c>
      <c r="K916" t="s">
        <v>74</v>
      </c>
      <c r="L916" t="s">
        <v>74</v>
      </c>
      <c r="M916" t="s">
        <v>78</v>
      </c>
      <c r="N916" t="s">
        <v>2737</v>
      </c>
      <c r="O916" t="s">
        <v>74</v>
      </c>
      <c r="P916" t="s">
        <v>74</v>
      </c>
      <c r="Q916" t="s">
        <v>74</v>
      </c>
      <c r="R916" t="s">
        <v>74</v>
      </c>
      <c r="S916" t="s">
        <v>74</v>
      </c>
      <c r="T916" t="s">
        <v>74</v>
      </c>
      <c r="U916" t="s">
        <v>12138</v>
      </c>
      <c r="V916" t="s">
        <v>12139</v>
      </c>
      <c r="W916" t="s">
        <v>12140</v>
      </c>
      <c r="X916" t="s">
        <v>12141</v>
      </c>
      <c r="Y916" t="s">
        <v>12142</v>
      </c>
      <c r="Z916" t="s">
        <v>12143</v>
      </c>
      <c r="AA916" t="s">
        <v>12144</v>
      </c>
      <c r="AB916" t="s">
        <v>12145</v>
      </c>
      <c r="AC916" t="s">
        <v>74</v>
      </c>
      <c r="AD916" t="s">
        <v>74</v>
      </c>
      <c r="AE916" t="s">
        <v>74</v>
      </c>
      <c r="AF916" t="s">
        <v>74</v>
      </c>
      <c r="AG916">
        <v>33</v>
      </c>
      <c r="AH916">
        <v>18</v>
      </c>
      <c r="AI916">
        <v>20</v>
      </c>
      <c r="AJ916">
        <v>0</v>
      </c>
      <c r="AK916">
        <v>4</v>
      </c>
      <c r="AL916" t="s">
        <v>2815</v>
      </c>
      <c r="AM916" t="s">
        <v>2816</v>
      </c>
      <c r="AN916" t="s">
        <v>2817</v>
      </c>
      <c r="AO916" t="s">
        <v>5986</v>
      </c>
      <c r="AP916" t="s">
        <v>5987</v>
      </c>
      <c r="AQ916" t="s">
        <v>74</v>
      </c>
      <c r="AR916" t="s">
        <v>5988</v>
      </c>
      <c r="AS916" t="s">
        <v>5989</v>
      </c>
      <c r="AT916" t="s">
        <v>11917</v>
      </c>
      <c r="AU916">
        <v>2008</v>
      </c>
      <c r="AV916">
        <v>40</v>
      </c>
      <c r="AW916">
        <v>1</v>
      </c>
      <c r="AX916" t="s">
        <v>74</v>
      </c>
      <c r="AY916" t="s">
        <v>74</v>
      </c>
      <c r="AZ916" t="s">
        <v>74</v>
      </c>
      <c r="BA916" t="s">
        <v>74</v>
      </c>
      <c r="BB916">
        <v>81</v>
      </c>
      <c r="BC916">
        <v>88</v>
      </c>
      <c r="BD916" t="s">
        <v>74</v>
      </c>
      <c r="BE916" t="s">
        <v>12146</v>
      </c>
      <c r="BF916" t="str">
        <f>HYPERLINK("http://dx.doi.org/10.1657/1523-0430(06-042)[GURNEY]2.0.CO;2","http://dx.doi.org/10.1657/1523-0430(06-042)[GURNEY]2.0.CO;2")</f>
        <v>http://dx.doi.org/10.1657/1523-0430(06-042)[GURNEY]2.0.CO;2</v>
      </c>
      <c r="BG916" t="s">
        <v>74</v>
      </c>
      <c r="BH916" t="s">
        <v>74</v>
      </c>
      <c r="BI916">
        <v>8</v>
      </c>
      <c r="BJ916" t="s">
        <v>5991</v>
      </c>
      <c r="BK916" t="s">
        <v>419</v>
      </c>
      <c r="BL916" t="s">
        <v>5992</v>
      </c>
      <c r="BM916" t="s">
        <v>12059</v>
      </c>
      <c r="BN916" t="s">
        <v>74</v>
      </c>
      <c r="BO916" t="s">
        <v>12147</v>
      </c>
      <c r="BP916" t="s">
        <v>74</v>
      </c>
      <c r="BQ916" t="s">
        <v>74</v>
      </c>
      <c r="BR916" t="s">
        <v>101</v>
      </c>
      <c r="BS916" t="s">
        <v>12148</v>
      </c>
      <c r="BT916" t="str">
        <f>HYPERLINK("https%3A%2F%2Fwww.webofscience.com%2Fwos%2Fwoscc%2Ffull-record%2FWOS:000252869000009","View Full Record in Web of Science")</f>
        <v>View Full Record in Web of Science</v>
      </c>
    </row>
    <row r="917" spans="1:72" x14ac:dyDescent="0.15">
      <c r="A917" t="s">
        <v>72</v>
      </c>
      <c r="B917" t="s">
        <v>12149</v>
      </c>
      <c r="C917" t="s">
        <v>74</v>
      </c>
      <c r="D917" t="s">
        <v>74</v>
      </c>
      <c r="E917" t="s">
        <v>74</v>
      </c>
      <c r="F917" t="s">
        <v>12150</v>
      </c>
      <c r="G917" t="s">
        <v>74</v>
      </c>
      <c r="H917" t="s">
        <v>74</v>
      </c>
      <c r="I917" t="s">
        <v>12151</v>
      </c>
      <c r="J917" t="s">
        <v>5977</v>
      </c>
      <c r="K917" t="s">
        <v>74</v>
      </c>
      <c r="L917" t="s">
        <v>74</v>
      </c>
      <c r="M917" t="s">
        <v>78</v>
      </c>
      <c r="N917" t="s">
        <v>2737</v>
      </c>
      <c r="O917" t="s">
        <v>74</v>
      </c>
      <c r="P917" t="s">
        <v>74</v>
      </c>
      <c r="Q917" t="s">
        <v>74</v>
      </c>
      <c r="R917" t="s">
        <v>74</v>
      </c>
      <c r="S917" t="s">
        <v>74</v>
      </c>
      <c r="T917" t="s">
        <v>74</v>
      </c>
      <c r="U917" t="s">
        <v>12152</v>
      </c>
      <c r="V917" t="s">
        <v>12153</v>
      </c>
      <c r="W917" t="s">
        <v>12154</v>
      </c>
      <c r="X917" t="s">
        <v>8369</v>
      </c>
      <c r="Y917" t="s">
        <v>12155</v>
      </c>
      <c r="Z917" t="s">
        <v>12156</v>
      </c>
      <c r="AA917" t="s">
        <v>12157</v>
      </c>
      <c r="AB917" t="s">
        <v>74</v>
      </c>
      <c r="AC917" t="s">
        <v>74</v>
      </c>
      <c r="AD917" t="s">
        <v>74</v>
      </c>
      <c r="AE917" t="s">
        <v>74</v>
      </c>
      <c r="AF917" t="s">
        <v>74</v>
      </c>
      <c r="AG917">
        <v>35</v>
      </c>
      <c r="AH917">
        <v>72</v>
      </c>
      <c r="AI917">
        <v>83</v>
      </c>
      <c r="AJ917">
        <v>0</v>
      </c>
      <c r="AK917">
        <v>61</v>
      </c>
      <c r="AL917" t="s">
        <v>6004</v>
      </c>
      <c r="AM917" t="s">
        <v>6005</v>
      </c>
      <c r="AN917" t="s">
        <v>6006</v>
      </c>
      <c r="AO917" t="s">
        <v>5986</v>
      </c>
      <c r="AP917" t="s">
        <v>74</v>
      </c>
      <c r="AQ917" t="s">
        <v>74</v>
      </c>
      <c r="AR917" t="s">
        <v>5988</v>
      </c>
      <c r="AS917" t="s">
        <v>5989</v>
      </c>
      <c r="AT917" t="s">
        <v>11917</v>
      </c>
      <c r="AU917">
        <v>2008</v>
      </c>
      <c r="AV917">
        <v>40</v>
      </c>
      <c r="AW917">
        <v>1</v>
      </c>
      <c r="AX917" t="s">
        <v>74</v>
      </c>
      <c r="AY917" t="s">
        <v>74</v>
      </c>
      <c r="AZ917" t="s">
        <v>74</v>
      </c>
      <c r="BA917" t="s">
        <v>74</v>
      </c>
      <c r="BB917">
        <v>89</v>
      </c>
      <c r="BC917">
        <v>95</v>
      </c>
      <c r="BD917" t="s">
        <v>74</v>
      </c>
      <c r="BE917" t="s">
        <v>12158</v>
      </c>
      <c r="BF917" t="str">
        <f>HYPERLINK("http://dx.doi.org/10.1657/1523-0430(06-122)[JANDT]2.0.CO;2","http://dx.doi.org/10.1657/1523-0430(06-122)[JANDT]2.0.CO;2")</f>
        <v>http://dx.doi.org/10.1657/1523-0430(06-122)[JANDT]2.0.CO;2</v>
      </c>
      <c r="BG917" t="s">
        <v>74</v>
      </c>
      <c r="BH917" t="s">
        <v>74</v>
      </c>
      <c r="BI917">
        <v>7</v>
      </c>
      <c r="BJ917" t="s">
        <v>5991</v>
      </c>
      <c r="BK917" t="s">
        <v>419</v>
      </c>
      <c r="BL917" t="s">
        <v>5992</v>
      </c>
      <c r="BM917" t="s">
        <v>12059</v>
      </c>
      <c r="BN917" t="s">
        <v>74</v>
      </c>
      <c r="BO917" t="s">
        <v>3110</v>
      </c>
      <c r="BP917" t="s">
        <v>74</v>
      </c>
      <c r="BQ917" t="s">
        <v>74</v>
      </c>
      <c r="BR917" t="s">
        <v>101</v>
      </c>
      <c r="BS917" t="s">
        <v>12159</v>
      </c>
      <c r="BT917" t="str">
        <f>HYPERLINK("https%3A%2F%2Fwww.webofscience.com%2Fwos%2Fwoscc%2Ffull-record%2FWOS:000252869000010","View Full Record in Web of Science")</f>
        <v>View Full Record in Web of Science</v>
      </c>
    </row>
    <row r="918" spans="1:72" x14ac:dyDescent="0.15">
      <c r="A918" t="s">
        <v>72</v>
      </c>
      <c r="B918" t="s">
        <v>12160</v>
      </c>
      <c r="C918" t="s">
        <v>74</v>
      </c>
      <c r="D918" t="s">
        <v>74</v>
      </c>
      <c r="E918" t="s">
        <v>74</v>
      </c>
      <c r="F918" t="s">
        <v>12161</v>
      </c>
      <c r="G918" t="s">
        <v>74</v>
      </c>
      <c r="H918" t="s">
        <v>74</v>
      </c>
      <c r="I918" t="s">
        <v>12162</v>
      </c>
      <c r="J918" t="s">
        <v>5977</v>
      </c>
      <c r="K918" t="s">
        <v>74</v>
      </c>
      <c r="L918" t="s">
        <v>74</v>
      </c>
      <c r="M918" t="s">
        <v>78</v>
      </c>
      <c r="N918" t="s">
        <v>2737</v>
      </c>
      <c r="O918" t="s">
        <v>74</v>
      </c>
      <c r="P918" t="s">
        <v>74</v>
      </c>
      <c r="Q918" t="s">
        <v>74</v>
      </c>
      <c r="R918" t="s">
        <v>74</v>
      </c>
      <c r="S918" t="s">
        <v>74</v>
      </c>
      <c r="T918" t="s">
        <v>74</v>
      </c>
      <c r="U918" t="s">
        <v>12163</v>
      </c>
      <c r="V918" t="s">
        <v>12164</v>
      </c>
      <c r="W918" t="s">
        <v>12165</v>
      </c>
      <c r="X918" t="s">
        <v>12166</v>
      </c>
      <c r="Y918" t="s">
        <v>12167</v>
      </c>
      <c r="Z918" t="s">
        <v>12168</v>
      </c>
      <c r="AA918" t="s">
        <v>74</v>
      </c>
      <c r="AB918" t="s">
        <v>12169</v>
      </c>
      <c r="AC918" t="s">
        <v>74</v>
      </c>
      <c r="AD918" t="s">
        <v>74</v>
      </c>
      <c r="AE918" t="s">
        <v>74</v>
      </c>
      <c r="AF918" t="s">
        <v>74</v>
      </c>
      <c r="AG918">
        <v>45</v>
      </c>
      <c r="AH918">
        <v>37</v>
      </c>
      <c r="AI918">
        <v>42</v>
      </c>
      <c r="AJ918">
        <v>1</v>
      </c>
      <c r="AK918">
        <v>32</v>
      </c>
      <c r="AL918" t="s">
        <v>2815</v>
      </c>
      <c r="AM918" t="s">
        <v>2816</v>
      </c>
      <c r="AN918" t="s">
        <v>2817</v>
      </c>
      <c r="AO918" t="s">
        <v>5986</v>
      </c>
      <c r="AP918" t="s">
        <v>5987</v>
      </c>
      <c r="AQ918" t="s">
        <v>74</v>
      </c>
      <c r="AR918" t="s">
        <v>5988</v>
      </c>
      <c r="AS918" t="s">
        <v>5989</v>
      </c>
      <c r="AT918" t="s">
        <v>11917</v>
      </c>
      <c r="AU918">
        <v>2008</v>
      </c>
      <c r="AV918">
        <v>40</v>
      </c>
      <c r="AW918">
        <v>1</v>
      </c>
      <c r="AX918" t="s">
        <v>74</v>
      </c>
      <c r="AY918" t="s">
        <v>74</v>
      </c>
      <c r="AZ918" t="s">
        <v>74</v>
      </c>
      <c r="BA918" t="s">
        <v>74</v>
      </c>
      <c r="BB918">
        <v>96</v>
      </c>
      <c r="BC918">
        <v>103</v>
      </c>
      <c r="BD918" t="s">
        <v>74</v>
      </c>
      <c r="BE918" t="s">
        <v>12170</v>
      </c>
      <c r="BF918" t="str">
        <f>HYPERLINK("http://dx.doi.org/10.1657/1523-0430(06-029)[KADE]2.0.CO;2","http://dx.doi.org/10.1657/1523-0430(06-029)[KADE]2.0.CO;2")</f>
        <v>http://dx.doi.org/10.1657/1523-0430(06-029)[KADE]2.0.CO;2</v>
      </c>
      <c r="BG918" t="s">
        <v>74</v>
      </c>
      <c r="BH918" t="s">
        <v>74</v>
      </c>
      <c r="BI918">
        <v>8</v>
      </c>
      <c r="BJ918" t="s">
        <v>5991</v>
      </c>
      <c r="BK918" t="s">
        <v>419</v>
      </c>
      <c r="BL918" t="s">
        <v>5992</v>
      </c>
      <c r="BM918" t="s">
        <v>12059</v>
      </c>
      <c r="BN918" t="s">
        <v>74</v>
      </c>
      <c r="BO918" t="s">
        <v>6104</v>
      </c>
      <c r="BP918" t="s">
        <v>74</v>
      </c>
      <c r="BQ918" t="s">
        <v>74</v>
      </c>
      <c r="BR918" t="s">
        <v>101</v>
      </c>
      <c r="BS918" t="s">
        <v>12171</v>
      </c>
      <c r="BT918" t="str">
        <f>HYPERLINK("https%3A%2F%2Fwww.webofscience.com%2Fwos%2Fwoscc%2Ffull-record%2FWOS:000252869000011","View Full Record in Web of Science")</f>
        <v>View Full Record in Web of Science</v>
      </c>
    </row>
    <row r="919" spans="1:72" x14ac:dyDescent="0.15">
      <c r="A919" t="s">
        <v>72</v>
      </c>
      <c r="B919" t="s">
        <v>12172</v>
      </c>
      <c r="C919" t="s">
        <v>74</v>
      </c>
      <c r="D919" t="s">
        <v>74</v>
      </c>
      <c r="E919" t="s">
        <v>74</v>
      </c>
      <c r="F919" t="s">
        <v>12173</v>
      </c>
      <c r="G919" t="s">
        <v>74</v>
      </c>
      <c r="H919" t="s">
        <v>74</v>
      </c>
      <c r="I919" t="s">
        <v>12174</v>
      </c>
      <c r="J919" t="s">
        <v>5977</v>
      </c>
      <c r="K919" t="s">
        <v>74</v>
      </c>
      <c r="L919" t="s">
        <v>74</v>
      </c>
      <c r="M919" t="s">
        <v>78</v>
      </c>
      <c r="N919" t="s">
        <v>2737</v>
      </c>
      <c r="O919" t="s">
        <v>74</v>
      </c>
      <c r="P919" t="s">
        <v>74</v>
      </c>
      <c r="Q919" t="s">
        <v>74</v>
      </c>
      <c r="R919" t="s">
        <v>74</v>
      </c>
      <c r="S919" t="s">
        <v>74</v>
      </c>
      <c r="T919" t="s">
        <v>74</v>
      </c>
      <c r="U919" t="s">
        <v>12175</v>
      </c>
      <c r="V919" t="s">
        <v>12176</v>
      </c>
      <c r="W919" t="s">
        <v>12177</v>
      </c>
      <c r="X919" t="s">
        <v>12178</v>
      </c>
      <c r="Y919" t="s">
        <v>12179</v>
      </c>
      <c r="Z919" t="s">
        <v>12180</v>
      </c>
      <c r="AA919" t="s">
        <v>74</v>
      </c>
      <c r="AB919" t="s">
        <v>74</v>
      </c>
      <c r="AC919" t="s">
        <v>74</v>
      </c>
      <c r="AD919" t="s">
        <v>74</v>
      </c>
      <c r="AE919" t="s">
        <v>74</v>
      </c>
      <c r="AF919" t="s">
        <v>74</v>
      </c>
      <c r="AG919">
        <v>41</v>
      </c>
      <c r="AH919">
        <v>31</v>
      </c>
      <c r="AI919">
        <v>35</v>
      </c>
      <c r="AJ919">
        <v>1</v>
      </c>
      <c r="AK919">
        <v>20</v>
      </c>
      <c r="AL919" t="s">
        <v>2815</v>
      </c>
      <c r="AM919" t="s">
        <v>2816</v>
      </c>
      <c r="AN919" t="s">
        <v>2817</v>
      </c>
      <c r="AO919" t="s">
        <v>5986</v>
      </c>
      <c r="AP919" t="s">
        <v>5987</v>
      </c>
      <c r="AQ919" t="s">
        <v>74</v>
      </c>
      <c r="AR919" t="s">
        <v>5988</v>
      </c>
      <c r="AS919" t="s">
        <v>5989</v>
      </c>
      <c r="AT919" t="s">
        <v>11917</v>
      </c>
      <c r="AU919">
        <v>2008</v>
      </c>
      <c r="AV919">
        <v>40</v>
      </c>
      <c r="AW919">
        <v>1</v>
      </c>
      <c r="AX919" t="s">
        <v>74</v>
      </c>
      <c r="AY919" t="s">
        <v>74</v>
      </c>
      <c r="AZ919" t="s">
        <v>74</v>
      </c>
      <c r="BA919" t="s">
        <v>74</v>
      </c>
      <c r="BB919">
        <v>104</v>
      </c>
      <c r="BC919">
        <v>110</v>
      </c>
      <c r="BD919" t="s">
        <v>74</v>
      </c>
      <c r="BE919" t="s">
        <v>12181</v>
      </c>
      <c r="BF919" t="str">
        <f>HYPERLINK("http://dx.doi.org/10.1657/1523-0430(06-120)[KULLMAN]2.0.CO;2","http://dx.doi.org/10.1657/1523-0430(06-120)[KULLMAN]2.0.CO;2")</f>
        <v>http://dx.doi.org/10.1657/1523-0430(06-120)[KULLMAN]2.0.CO;2</v>
      </c>
      <c r="BG919" t="s">
        <v>74</v>
      </c>
      <c r="BH919" t="s">
        <v>74</v>
      </c>
      <c r="BI919">
        <v>7</v>
      </c>
      <c r="BJ919" t="s">
        <v>5991</v>
      </c>
      <c r="BK919" t="s">
        <v>419</v>
      </c>
      <c r="BL919" t="s">
        <v>5992</v>
      </c>
      <c r="BM919" t="s">
        <v>12059</v>
      </c>
      <c r="BN919" t="s">
        <v>74</v>
      </c>
      <c r="BO919" t="s">
        <v>3110</v>
      </c>
      <c r="BP919" t="s">
        <v>74</v>
      </c>
      <c r="BQ919" t="s">
        <v>74</v>
      </c>
      <c r="BR919" t="s">
        <v>101</v>
      </c>
      <c r="BS919" t="s">
        <v>12182</v>
      </c>
      <c r="BT919" t="str">
        <f>HYPERLINK("https%3A%2F%2Fwww.webofscience.com%2Fwos%2Fwoscc%2Ffull-record%2FWOS:000252869000012","View Full Record in Web of Science")</f>
        <v>View Full Record in Web of Science</v>
      </c>
    </row>
    <row r="920" spans="1:72" x14ac:dyDescent="0.15">
      <c r="A920" t="s">
        <v>72</v>
      </c>
      <c r="B920" t="s">
        <v>12183</v>
      </c>
      <c r="C920" t="s">
        <v>74</v>
      </c>
      <c r="D920" t="s">
        <v>74</v>
      </c>
      <c r="E920" t="s">
        <v>74</v>
      </c>
      <c r="F920" t="s">
        <v>12184</v>
      </c>
      <c r="G920" t="s">
        <v>74</v>
      </c>
      <c r="H920" t="s">
        <v>74</v>
      </c>
      <c r="I920" t="s">
        <v>12185</v>
      </c>
      <c r="J920" t="s">
        <v>5977</v>
      </c>
      <c r="K920" t="s">
        <v>74</v>
      </c>
      <c r="L920" t="s">
        <v>74</v>
      </c>
      <c r="M920" t="s">
        <v>78</v>
      </c>
      <c r="N920" t="s">
        <v>2737</v>
      </c>
      <c r="O920" t="s">
        <v>74</v>
      </c>
      <c r="P920" t="s">
        <v>74</v>
      </c>
      <c r="Q920" t="s">
        <v>74</v>
      </c>
      <c r="R920" t="s">
        <v>74</v>
      </c>
      <c r="S920" t="s">
        <v>74</v>
      </c>
      <c r="T920" t="s">
        <v>74</v>
      </c>
      <c r="U920" t="s">
        <v>12186</v>
      </c>
      <c r="V920" t="s">
        <v>12187</v>
      </c>
      <c r="W920" t="s">
        <v>12188</v>
      </c>
      <c r="X920" t="s">
        <v>8034</v>
      </c>
      <c r="Y920" t="s">
        <v>12189</v>
      </c>
      <c r="Z920" t="s">
        <v>12190</v>
      </c>
      <c r="AA920" t="s">
        <v>12191</v>
      </c>
      <c r="AB920" t="s">
        <v>74</v>
      </c>
      <c r="AC920" t="s">
        <v>74</v>
      </c>
      <c r="AD920" t="s">
        <v>74</v>
      </c>
      <c r="AE920" t="s">
        <v>74</v>
      </c>
      <c r="AF920" t="s">
        <v>74</v>
      </c>
      <c r="AG920">
        <v>64</v>
      </c>
      <c r="AH920">
        <v>30</v>
      </c>
      <c r="AI920">
        <v>37</v>
      </c>
      <c r="AJ920">
        <v>0</v>
      </c>
      <c r="AK920">
        <v>61</v>
      </c>
      <c r="AL920" t="s">
        <v>2815</v>
      </c>
      <c r="AM920" t="s">
        <v>2816</v>
      </c>
      <c r="AN920" t="s">
        <v>2817</v>
      </c>
      <c r="AO920" t="s">
        <v>5986</v>
      </c>
      <c r="AP920" t="s">
        <v>5987</v>
      </c>
      <c r="AQ920" t="s">
        <v>74</v>
      </c>
      <c r="AR920" t="s">
        <v>5988</v>
      </c>
      <c r="AS920" t="s">
        <v>5989</v>
      </c>
      <c r="AT920" t="s">
        <v>11917</v>
      </c>
      <c r="AU920">
        <v>2008</v>
      </c>
      <c r="AV920">
        <v>40</v>
      </c>
      <c r="AW920">
        <v>1</v>
      </c>
      <c r="AX920" t="s">
        <v>74</v>
      </c>
      <c r="AY920" t="s">
        <v>74</v>
      </c>
      <c r="AZ920" t="s">
        <v>74</v>
      </c>
      <c r="BA920" t="s">
        <v>74</v>
      </c>
      <c r="BB920">
        <v>111</v>
      </c>
      <c r="BC920">
        <v>118</v>
      </c>
      <c r="BD920" t="s">
        <v>74</v>
      </c>
      <c r="BE920" t="s">
        <v>12192</v>
      </c>
      <c r="BF920" t="str">
        <f>HYPERLINK("http://dx.doi.org/10.1657/1523-0430(06-103)[LUNDMARK]2.0.CO;2","http://dx.doi.org/10.1657/1523-0430(06-103)[LUNDMARK]2.0.CO;2")</f>
        <v>http://dx.doi.org/10.1657/1523-0430(06-103)[LUNDMARK]2.0.CO;2</v>
      </c>
      <c r="BG920" t="s">
        <v>74</v>
      </c>
      <c r="BH920" t="s">
        <v>74</v>
      </c>
      <c r="BI920">
        <v>8</v>
      </c>
      <c r="BJ920" t="s">
        <v>5991</v>
      </c>
      <c r="BK920" t="s">
        <v>419</v>
      </c>
      <c r="BL920" t="s">
        <v>5992</v>
      </c>
      <c r="BM920" t="s">
        <v>12059</v>
      </c>
      <c r="BN920" t="s">
        <v>74</v>
      </c>
      <c r="BO920" t="s">
        <v>4015</v>
      </c>
      <c r="BP920" t="s">
        <v>74</v>
      </c>
      <c r="BQ920" t="s">
        <v>74</v>
      </c>
      <c r="BR920" t="s">
        <v>101</v>
      </c>
      <c r="BS920" t="s">
        <v>12193</v>
      </c>
      <c r="BT920" t="str">
        <f>HYPERLINK("https%3A%2F%2Fwww.webofscience.com%2Fwos%2Fwoscc%2Ffull-record%2FWOS:000252869000013","View Full Record in Web of Science")</f>
        <v>View Full Record in Web of Science</v>
      </c>
    </row>
    <row r="921" spans="1:72" x14ac:dyDescent="0.15">
      <c r="A921" t="s">
        <v>72</v>
      </c>
      <c r="B921" t="s">
        <v>12194</v>
      </c>
      <c r="C921" t="s">
        <v>74</v>
      </c>
      <c r="D921" t="s">
        <v>74</v>
      </c>
      <c r="E921" t="s">
        <v>74</v>
      </c>
      <c r="F921" t="s">
        <v>12195</v>
      </c>
      <c r="G921" t="s">
        <v>74</v>
      </c>
      <c r="H921" t="s">
        <v>74</v>
      </c>
      <c r="I921" t="s">
        <v>12196</v>
      </c>
      <c r="J921" t="s">
        <v>5977</v>
      </c>
      <c r="K921" t="s">
        <v>74</v>
      </c>
      <c r="L921" t="s">
        <v>74</v>
      </c>
      <c r="M921" t="s">
        <v>78</v>
      </c>
      <c r="N921" t="s">
        <v>2737</v>
      </c>
      <c r="O921" t="s">
        <v>74</v>
      </c>
      <c r="P921" t="s">
        <v>74</v>
      </c>
      <c r="Q921" t="s">
        <v>74</v>
      </c>
      <c r="R921" t="s">
        <v>74</v>
      </c>
      <c r="S921" t="s">
        <v>74</v>
      </c>
      <c r="T921" t="s">
        <v>74</v>
      </c>
      <c r="U921" t="s">
        <v>12197</v>
      </c>
      <c r="V921" t="s">
        <v>12198</v>
      </c>
      <c r="W921" t="s">
        <v>12199</v>
      </c>
      <c r="X921" t="s">
        <v>12200</v>
      </c>
      <c r="Y921" t="s">
        <v>12201</v>
      </c>
      <c r="Z921" t="s">
        <v>12202</v>
      </c>
      <c r="AA921" t="s">
        <v>12203</v>
      </c>
      <c r="AB921" t="s">
        <v>74</v>
      </c>
      <c r="AC921" t="s">
        <v>12204</v>
      </c>
      <c r="AD921" t="s">
        <v>12205</v>
      </c>
      <c r="AE921" t="s">
        <v>74</v>
      </c>
      <c r="AF921" t="s">
        <v>74</v>
      </c>
      <c r="AG921">
        <v>56</v>
      </c>
      <c r="AH921">
        <v>61</v>
      </c>
      <c r="AI921">
        <v>69</v>
      </c>
      <c r="AJ921">
        <v>0</v>
      </c>
      <c r="AK921">
        <v>3</v>
      </c>
      <c r="AL921" t="s">
        <v>2815</v>
      </c>
      <c r="AM921" t="s">
        <v>2816</v>
      </c>
      <c r="AN921" t="s">
        <v>2817</v>
      </c>
      <c r="AO921" t="s">
        <v>5986</v>
      </c>
      <c r="AP921" t="s">
        <v>5987</v>
      </c>
      <c r="AQ921" t="s">
        <v>74</v>
      </c>
      <c r="AR921" t="s">
        <v>5988</v>
      </c>
      <c r="AS921" t="s">
        <v>5989</v>
      </c>
      <c r="AT921" t="s">
        <v>11917</v>
      </c>
      <c r="AU921">
        <v>2008</v>
      </c>
      <c r="AV921">
        <v>40</v>
      </c>
      <c r="AW921">
        <v>1</v>
      </c>
      <c r="AX921" t="s">
        <v>74</v>
      </c>
      <c r="AY921" t="s">
        <v>74</v>
      </c>
      <c r="AZ921" t="s">
        <v>74</v>
      </c>
      <c r="BA921" t="s">
        <v>74</v>
      </c>
      <c r="BB921">
        <v>119</v>
      </c>
      <c r="BC921">
        <v>128</v>
      </c>
      <c r="BD921" t="s">
        <v>74</v>
      </c>
      <c r="BE921" t="s">
        <v>12206</v>
      </c>
      <c r="BF921" t="str">
        <f>HYPERLINK("http://dx.doi.org/10.1657/1523-0430(06-051)[POAGE]2.0.CO;2","http://dx.doi.org/10.1657/1523-0430(06-051)[POAGE]2.0.CO;2")</f>
        <v>http://dx.doi.org/10.1657/1523-0430(06-051)[POAGE]2.0.CO;2</v>
      </c>
      <c r="BG921" t="s">
        <v>74</v>
      </c>
      <c r="BH921" t="s">
        <v>74</v>
      </c>
      <c r="BI921">
        <v>10</v>
      </c>
      <c r="BJ921" t="s">
        <v>5991</v>
      </c>
      <c r="BK921" t="s">
        <v>419</v>
      </c>
      <c r="BL921" t="s">
        <v>5992</v>
      </c>
      <c r="BM921" t="s">
        <v>12059</v>
      </c>
      <c r="BN921" t="s">
        <v>74</v>
      </c>
      <c r="BO921" t="s">
        <v>3110</v>
      </c>
      <c r="BP921" t="s">
        <v>74</v>
      </c>
      <c r="BQ921" t="s">
        <v>74</v>
      </c>
      <c r="BR921" t="s">
        <v>101</v>
      </c>
      <c r="BS921" t="s">
        <v>12207</v>
      </c>
      <c r="BT921" t="str">
        <f>HYPERLINK("https%3A%2F%2Fwww.webofscience.com%2Fwos%2Fwoscc%2Ffull-record%2FWOS:000252869000014","View Full Record in Web of Science")</f>
        <v>View Full Record in Web of Science</v>
      </c>
    </row>
    <row r="922" spans="1:72" x14ac:dyDescent="0.15">
      <c r="A922" t="s">
        <v>72</v>
      </c>
      <c r="B922" t="s">
        <v>12208</v>
      </c>
      <c r="C922" t="s">
        <v>74</v>
      </c>
      <c r="D922" t="s">
        <v>74</v>
      </c>
      <c r="E922" t="s">
        <v>74</v>
      </c>
      <c r="F922" t="s">
        <v>12209</v>
      </c>
      <c r="G922" t="s">
        <v>74</v>
      </c>
      <c r="H922" t="s">
        <v>74</v>
      </c>
      <c r="I922" t="s">
        <v>12210</v>
      </c>
      <c r="J922" t="s">
        <v>5977</v>
      </c>
      <c r="K922" t="s">
        <v>74</v>
      </c>
      <c r="L922" t="s">
        <v>74</v>
      </c>
      <c r="M922" t="s">
        <v>78</v>
      </c>
      <c r="N922" t="s">
        <v>2737</v>
      </c>
      <c r="O922" t="s">
        <v>74</v>
      </c>
      <c r="P922" t="s">
        <v>74</v>
      </c>
      <c r="Q922" t="s">
        <v>74</v>
      </c>
      <c r="R922" t="s">
        <v>74</v>
      </c>
      <c r="S922" t="s">
        <v>74</v>
      </c>
      <c r="T922" t="s">
        <v>74</v>
      </c>
      <c r="U922" t="s">
        <v>12211</v>
      </c>
      <c r="V922" t="s">
        <v>12212</v>
      </c>
      <c r="W922" t="s">
        <v>12213</v>
      </c>
      <c r="X922" t="s">
        <v>12214</v>
      </c>
      <c r="Y922" t="s">
        <v>12215</v>
      </c>
      <c r="Z922" t="s">
        <v>12216</v>
      </c>
      <c r="AA922" t="s">
        <v>74</v>
      </c>
      <c r="AB922" t="s">
        <v>12217</v>
      </c>
      <c r="AC922" t="s">
        <v>74</v>
      </c>
      <c r="AD922" t="s">
        <v>74</v>
      </c>
      <c r="AE922" t="s">
        <v>74</v>
      </c>
      <c r="AF922" t="s">
        <v>74</v>
      </c>
      <c r="AG922">
        <v>59</v>
      </c>
      <c r="AH922">
        <v>7</v>
      </c>
      <c r="AI922">
        <v>8</v>
      </c>
      <c r="AJ922">
        <v>0</v>
      </c>
      <c r="AK922">
        <v>15</v>
      </c>
      <c r="AL922" t="s">
        <v>2815</v>
      </c>
      <c r="AM922" t="s">
        <v>2816</v>
      </c>
      <c r="AN922" t="s">
        <v>2817</v>
      </c>
      <c r="AO922" t="s">
        <v>5986</v>
      </c>
      <c r="AP922" t="s">
        <v>5987</v>
      </c>
      <c r="AQ922" t="s">
        <v>74</v>
      </c>
      <c r="AR922" t="s">
        <v>5988</v>
      </c>
      <c r="AS922" t="s">
        <v>5989</v>
      </c>
      <c r="AT922" t="s">
        <v>11917</v>
      </c>
      <c r="AU922">
        <v>2008</v>
      </c>
      <c r="AV922">
        <v>40</v>
      </c>
      <c r="AW922">
        <v>1</v>
      </c>
      <c r="AX922" t="s">
        <v>74</v>
      </c>
      <c r="AY922" t="s">
        <v>74</v>
      </c>
      <c r="AZ922" t="s">
        <v>74</v>
      </c>
      <c r="BA922" t="s">
        <v>74</v>
      </c>
      <c r="BB922">
        <v>129</v>
      </c>
      <c r="BC922">
        <v>139</v>
      </c>
      <c r="BD922" t="s">
        <v>74</v>
      </c>
      <c r="BE922" t="s">
        <v>12218</v>
      </c>
      <c r="BF922" t="str">
        <f>HYPERLINK("http://dx.doi.org/10.1657/1523-0430(05-080)[POTITO]2.0.CO;2","http://dx.doi.org/10.1657/1523-0430(05-080)[POTITO]2.0.CO;2")</f>
        <v>http://dx.doi.org/10.1657/1523-0430(05-080)[POTITO]2.0.CO;2</v>
      </c>
      <c r="BG922" t="s">
        <v>74</v>
      </c>
      <c r="BH922" t="s">
        <v>74</v>
      </c>
      <c r="BI922">
        <v>11</v>
      </c>
      <c r="BJ922" t="s">
        <v>5991</v>
      </c>
      <c r="BK922" t="s">
        <v>419</v>
      </c>
      <c r="BL922" t="s">
        <v>5992</v>
      </c>
      <c r="BM922" t="s">
        <v>12059</v>
      </c>
      <c r="BN922" t="s">
        <v>74</v>
      </c>
      <c r="BO922" t="s">
        <v>3110</v>
      </c>
      <c r="BP922" t="s">
        <v>74</v>
      </c>
      <c r="BQ922" t="s">
        <v>74</v>
      </c>
      <c r="BR922" t="s">
        <v>101</v>
      </c>
      <c r="BS922" t="s">
        <v>12219</v>
      </c>
      <c r="BT922" t="str">
        <f>HYPERLINK("https%3A%2F%2Fwww.webofscience.com%2Fwos%2Fwoscc%2Ffull-record%2FWOS:000252869000015","View Full Record in Web of Science")</f>
        <v>View Full Record in Web of Science</v>
      </c>
    </row>
    <row r="923" spans="1:72" x14ac:dyDescent="0.15">
      <c r="A923" t="s">
        <v>72</v>
      </c>
      <c r="B923" t="s">
        <v>12220</v>
      </c>
      <c r="C923" t="s">
        <v>74</v>
      </c>
      <c r="D923" t="s">
        <v>74</v>
      </c>
      <c r="E923" t="s">
        <v>74</v>
      </c>
      <c r="F923" t="s">
        <v>12221</v>
      </c>
      <c r="G923" t="s">
        <v>74</v>
      </c>
      <c r="H923" t="s">
        <v>74</v>
      </c>
      <c r="I923" t="s">
        <v>12222</v>
      </c>
      <c r="J923" t="s">
        <v>5977</v>
      </c>
      <c r="K923" t="s">
        <v>74</v>
      </c>
      <c r="L923" t="s">
        <v>74</v>
      </c>
      <c r="M923" t="s">
        <v>78</v>
      </c>
      <c r="N923" t="s">
        <v>2737</v>
      </c>
      <c r="O923" t="s">
        <v>74</v>
      </c>
      <c r="P923" t="s">
        <v>74</v>
      </c>
      <c r="Q923" t="s">
        <v>74</v>
      </c>
      <c r="R923" t="s">
        <v>74</v>
      </c>
      <c r="S923" t="s">
        <v>74</v>
      </c>
      <c r="T923" t="s">
        <v>74</v>
      </c>
      <c r="U923" t="s">
        <v>12223</v>
      </c>
      <c r="V923" t="s">
        <v>12224</v>
      </c>
      <c r="W923" t="s">
        <v>12225</v>
      </c>
      <c r="X923" t="s">
        <v>12226</v>
      </c>
      <c r="Y923" t="s">
        <v>12227</v>
      </c>
      <c r="Z923" t="s">
        <v>12228</v>
      </c>
      <c r="AA923" t="s">
        <v>12229</v>
      </c>
      <c r="AB923" t="s">
        <v>12230</v>
      </c>
      <c r="AC923" t="s">
        <v>74</v>
      </c>
      <c r="AD923" t="s">
        <v>74</v>
      </c>
      <c r="AE923" t="s">
        <v>74</v>
      </c>
      <c r="AF923" t="s">
        <v>74</v>
      </c>
      <c r="AG923">
        <v>51</v>
      </c>
      <c r="AH923">
        <v>53</v>
      </c>
      <c r="AI923">
        <v>55</v>
      </c>
      <c r="AJ923">
        <v>0</v>
      </c>
      <c r="AK923">
        <v>16</v>
      </c>
      <c r="AL923" t="s">
        <v>2815</v>
      </c>
      <c r="AM923" t="s">
        <v>2816</v>
      </c>
      <c r="AN923" t="s">
        <v>2817</v>
      </c>
      <c r="AO923" t="s">
        <v>5986</v>
      </c>
      <c r="AP923" t="s">
        <v>5987</v>
      </c>
      <c r="AQ923" t="s">
        <v>74</v>
      </c>
      <c r="AR923" t="s">
        <v>5988</v>
      </c>
      <c r="AS923" t="s">
        <v>5989</v>
      </c>
      <c r="AT923" t="s">
        <v>11917</v>
      </c>
      <c r="AU923">
        <v>2008</v>
      </c>
      <c r="AV923">
        <v>40</v>
      </c>
      <c r="AW923">
        <v>1</v>
      </c>
      <c r="AX923" t="s">
        <v>74</v>
      </c>
      <c r="AY923" t="s">
        <v>74</v>
      </c>
      <c r="AZ923" t="s">
        <v>74</v>
      </c>
      <c r="BA923" t="s">
        <v>74</v>
      </c>
      <c r="BB923">
        <v>140</v>
      </c>
      <c r="BC923">
        <v>147</v>
      </c>
      <c r="BD923" t="s">
        <v>74</v>
      </c>
      <c r="BE923" t="s">
        <v>12231</v>
      </c>
      <c r="BF923" t="str">
        <f>HYPERLINK("http://dx.doi.org/10.1657/1523-0430(06-032)[PURDIE]2.0.CO;2","http://dx.doi.org/10.1657/1523-0430(06-032)[PURDIE]2.0.CO;2")</f>
        <v>http://dx.doi.org/10.1657/1523-0430(06-032)[PURDIE]2.0.CO;2</v>
      </c>
      <c r="BG923" t="s">
        <v>74</v>
      </c>
      <c r="BH923" t="s">
        <v>74</v>
      </c>
      <c r="BI923">
        <v>8</v>
      </c>
      <c r="BJ923" t="s">
        <v>5991</v>
      </c>
      <c r="BK923" t="s">
        <v>419</v>
      </c>
      <c r="BL923" t="s">
        <v>5992</v>
      </c>
      <c r="BM923" t="s">
        <v>12059</v>
      </c>
      <c r="BN923" t="s">
        <v>74</v>
      </c>
      <c r="BO923" t="s">
        <v>6104</v>
      </c>
      <c r="BP923" t="s">
        <v>74</v>
      </c>
      <c r="BQ923" t="s">
        <v>74</v>
      </c>
      <c r="BR923" t="s">
        <v>101</v>
      </c>
      <c r="BS923" t="s">
        <v>12232</v>
      </c>
      <c r="BT923" t="str">
        <f>HYPERLINK("https%3A%2F%2Fwww.webofscience.com%2Fwos%2Fwoscc%2Ffull-record%2FWOS:000252869000016","View Full Record in Web of Science")</f>
        <v>View Full Record in Web of Science</v>
      </c>
    </row>
    <row r="924" spans="1:72" x14ac:dyDescent="0.15">
      <c r="A924" t="s">
        <v>72</v>
      </c>
      <c r="B924" t="s">
        <v>12233</v>
      </c>
      <c r="C924" t="s">
        <v>74</v>
      </c>
      <c r="D924" t="s">
        <v>74</v>
      </c>
      <c r="E924" t="s">
        <v>74</v>
      </c>
      <c r="F924" t="s">
        <v>12234</v>
      </c>
      <c r="G924" t="s">
        <v>74</v>
      </c>
      <c r="H924" t="s">
        <v>74</v>
      </c>
      <c r="I924" t="s">
        <v>12235</v>
      </c>
      <c r="J924" t="s">
        <v>5977</v>
      </c>
      <c r="K924" t="s">
        <v>74</v>
      </c>
      <c r="L924" t="s">
        <v>74</v>
      </c>
      <c r="M924" t="s">
        <v>78</v>
      </c>
      <c r="N924" t="s">
        <v>2737</v>
      </c>
      <c r="O924" t="s">
        <v>74</v>
      </c>
      <c r="P924" t="s">
        <v>74</v>
      </c>
      <c r="Q924" t="s">
        <v>74</v>
      </c>
      <c r="R924" t="s">
        <v>74</v>
      </c>
      <c r="S924" t="s">
        <v>74</v>
      </c>
      <c r="T924" t="s">
        <v>74</v>
      </c>
      <c r="U924" t="s">
        <v>12236</v>
      </c>
      <c r="V924" t="s">
        <v>12237</v>
      </c>
      <c r="W924" t="s">
        <v>12238</v>
      </c>
      <c r="X924" t="s">
        <v>12239</v>
      </c>
      <c r="Y924" t="s">
        <v>12240</v>
      </c>
      <c r="Z924" t="s">
        <v>12241</v>
      </c>
      <c r="AA924" t="s">
        <v>74</v>
      </c>
      <c r="AB924" t="s">
        <v>74</v>
      </c>
      <c r="AC924" t="s">
        <v>74</v>
      </c>
      <c r="AD924" t="s">
        <v>74</v>
      </c>
      <c r="AE924" t="s">
        <v>74</v>
      </c>
      <c r="AF924" t="s">
        <v>74</v>
      </c>
      <c r="AG924">
        <v>52</v>
      </c>
      <c r="AH924">
        <v>68</v>
      </c>
      <c r="AI924">
        <v>71</v>
      </c>
      <c r="AJ924">
        <v>2</v>
      </c>
      <c r="AK924">
        <v>14</v>
      </c>
      <c r="AL924" t="s">
        <v>2815</v>
      </c>
      <c r="AM924" t="s">
        <v>2816</v>
      </c>
      <c r="AN924" t="s">
        <v>2817</v>
      </c>
      <c r="AO924" t="s">
        <v>5986</v>
      </c>
      <c r="AP924" t="s">
        <v>5987</v>
      </c>
      <c r="AQ924" t="s">
        <v>74</v>
      </c>
      <c r="AR924" t="s">
        <v>5988</v>
      </c>
      <c r="AS924" t="s">
        <v>5989</v>
      </c>
      <c r="AT924" t="s">
        <v>11917</v>
      </c>
      <c r="AU924">
        <v>2008</v>
      </c>
      <c r="AV924">
        <v>40</v>
      </c>
      <c r="AW924">
        <v>1</v>
      </c>
      <c r="AX924" t="s">
        <v>74</v>
      </c>
      <c r="AY924" t="s">
        <v>74</v>
      </c>
      <c r="AZ924" t="s">
        <v>74</v>
      </c>
      <c r="BA924" t="s">
        <v>74</v>
      </c>
      <c r="BB924">
        <v>148</v>
      </c>
      <c r="BC924">
        <v>160</v>
      </c>
      <c r="BD924" t="s">
        <v>74</v>
      </c>
      <c r="BE924" t="s">
        <v>12242</v>
      </c>
      <c r="BF924" t="str">
        <f>HYPERLINK("http://dx.doi.org/10.1657/1523-0430(06-069)[REARDON]2.0.CO;2","http://dx.doi.org/10.1657/1523-0430(06-069)[REARDON]2.0.CO;2")</f>
        <v>http://dx.doi.org/10.1657/1523-0430(06-069)[REARDON]2.0.CO;2</v>
      </c>
      <c r="BG924" t="s">
        <v>74</v>
      </c>
      <c r="BH924" t="s">
        <v>74</v>
      </c>
      <c r="BI924">
        <v>13</v>
      </c>
      <c r="BJ924" t="s">
        <v>5991</v>
      </c>
      <c r="BK924" t="s">
        <v>419</v>
      </c>
      <c r="BL924" t="s">
        <v>5992</v>
      </c>
      <c r="BM924" t="s">
        <v>12059</v>
      </c>
      <c r="BN924" t="s">
        <v>74</v>
      </c>
      <c r="BO924" t="s">
        <v>3110</v>
      </c>
      <c r="BP924" t="s">
        <v>74</v>
      </c>
      <c r="BQ924" t="s">
        <v>74</v>
      </c>
      <c r="BR924" t="s">
        <v>101</v>
      </c>
      <c r="BS924" t="s">
        <v>12243</v>
      </c>
      <c r="BT924" t="str">
        <f>HYPERLINK("https%3A%2F%2Fwww.webofscience.com%2Fwos%2Fwoscc%2Ffull-record%2FWOS:000252869000017","View Full Record in Web of Science")</f>
        <v>View Full Record in Web of Science</v>
      </c>
    </row>
    <row r="925" spans="1:72" x14ac:dyDescent="0.15">
      <c r="A925" t="s">
        <v>72</v>
      </c>
      <c r="B925" t="s">
        <v>12244</v>
      </c>
      <c r="C925" t="s">
        <v>74</v>
      </c>
      <c r="D925" t="s">
        <v>74</v>
      </c>
      <c r="E925" t="s">
        <v>74</v>
      </c>
      <c r="F925" t="s">
        <v>12245</v>
      </c>
      <c r="G925" t="s">
        <v>74</v>
      </c>
      <c r="H925" t="s">
        <v>74</v>
      </c>
      <c r="I925" t="s">
        <v>12246</v>
      </c>
      <c r="J925" t="s">
        <v>5977</v>
      </c>
      <c r="K925" t="s">
        <v>74</v>
      </c>
      <c r="L925" t="s">
        <v>74</v>
      </c>
      <c r="M925" t="s">
        <v>78</v>
      </c>
      <c r="N925" t="s">
        <v>2737</v>
      </c>
      <c r="O925" t="s">
        <v>74</v>
      </c>
      <c r="P925" t="s">
        <v>74</v>
      </c>
      <c r="Q925" t="s">
        <v>74</v>
      </c>
      <c r="R925" t="s">
        <v>74</v>
      </c>
      <c r="S925" t="s">
        <v>74</v>
      </c>
      <c r="T925" t="s">
        <v>74</v>
      </c>
      <c r="U925" t="s">
        <v>12247</v>
      </c>
      <c r="V925" t="s">
        <v>12248</v>
      </c>
      <c r="W925" t="s">
        <v>12249</v>
      </c>
      <c r="X925" t="s">
        <v>12250</v>
      </c>
      <c r="Y925" t="s">
        <v>12251</v>
      </c>
      <c r="Z925" t="s">
        <v>12252</v>
      </c>
      <c r="AA925" t="s">
        <v>74</v>
      </c>
      <c r="AB925" t="s">
        <v>74</v>
      </c>
      <c r="AC925" t="s">
        <v>74</v>
      </c>
      <c r="AD925" t="s">
        <v>74</v>
      </c>
      <c r="AE925" t="s">
        <v>74</v>
      </c>
      <c r="AF925" t="s">
        <v>74</v>
      </c>
      <c r="AG925">
        <v>59</v>
      </c>
      <c r="AH925">
        <v>54</v>
      </c>
      <c r="AI925">
        <v>70</v>
      </c>
      <c r="AJ925">
        <v>1</v>
      </c>
      <c r="AK925">
        <v>44</v>
      </c>
      <c r="AL925" t="s">
        <v>2815</v>
      </c>
      <c r="AM925" t="s">
        <v>2816</v>
      </c>
      <c r="AN925" t="s">
        <v>2817</v>
      </c>
      <c r="AO925" t="s">
        <v>5986</v>
      </c>
      <c r="AP925" t="s">
        <v>5987</v>
      </c>
      <c r="AQ925" t="s">
        <v>74</v>
      </c>
      <c r="AR925" t="s">
        <v>5988</v>
      </c>
      <c r="AS925" t="s">
        <v>5989</v>
      </c>
      <c r="AT925" t="s">
        <v>11917</v>
      </c>
      <c r="AU925">
        <v>2008</v>
      </c>
      <c r="AV925">
        <v>40</v>
      </c>
      <c r="AW925">
        <v>1</v>
      </c>
      <c r="AX925" t="s">
        <v>74</v>
      </c>
      <c r="AY925" t="s">
        <v>74</v>
      </c>
      <c r="AZ925" t="s">
        <v>74</v>
      </c>
      <c r="BA925" t="s">
        <v>74</v>
      </c>
      <c r="BB925">
        <v>161</v>
      </c>
      <c r="BC925">
        <v>170</v>
      </c>
      <c r="BD925" t="s">
        <v>74</v>
      </c>
      <c r="BE925" t="s">
        <v>12253</v>
      </c>
      <c r="BF925" t="str">
        <f>HYPERLINK("http://dx.doi.org/10.1657/1523-0430(06-116)[RESLER]2.0.CO;2","http://dx.doi.org/10.1657/1523-0430(06-116)[RESLER]2.0.CO;2")</f>
        <v>http://dx.doi.org/10.1657/1523-0430(06-116)[RESLER]2.0.CO;2</v>
      </c>
      <c r="BG925" t="s">
        <v>74</v>
      </c>
      <c r="BH925" t="s">
        <v>74</v>
      </c>
      <c r="BI925">
        <v>10</v>
      </c>
      <c r="BJ925" t="s">
        <v>5991</v>
      </c>
      <c r="BK925" t="s">
        <v>419</v>
      </c>
      <c r="BL925" t="s">
        <v>5992</v>
      </c>
      <c r="BM925" t="s">
        <v>12059</v>
      </c>
      <c r="BN925" t="s">
        <v>74</v>
      </c>
      <c r="BO925" t="s">
        <v>3110</v>
      </c>
      <c r="BP925" t="s">
        <v>74</v>
      </c>
      <c r="BQ925" t="s">
        <v>74</v>
      </c>
      <c r="BR925" t="s">
        <v>101</v>
      </c>
      <c r="BS925" t="s">
        <v>12254</v>
      </c>
      <c r="BT925" t="str">
        <f>HYPERLINK("https%3A%2F%2Fwww.webofscience.com%2Fwos%2Fwoscc%2Ffull-record%2FWOS:000252869000018","View Full Record in Web of Science")</f>
        <v>View Full Record in Web of Science</v>
      </c>
    </row>
    <row r="926" spans="1:72" x14ac:dyDescent="0.15">
      <c r="A926" t="s">
        <v>72</v>
      </c>
      <c r="B926" t="s">
        <v>12255</v>
      </c>
      <c r="C926" t="s">
        <v>74</v>
      </c>
      <c r="D926" t="s">
        <v>74</v>
      </c>
      <c r="E926" t="s">
        <v>74</v>
      </c>
      <c r="F926" t="s">
        <v>12256</v>
      </c>
      <c r="G926" t="s">
        <v>74</v>
      </c>
      <c r="H926" t="s">
        <v>74</v>
      </c>
      <c r="I926" t="s">
        <v>12257</v>
      </c>
      <c r="J926" t="s">
        <v>5977</v>
      </c>
      <c r="K926" t="s">
        <v>74</v>
      </c>
      <c r="L926" t="s">
        <v>74</v>
      </c>
      <c r="M926" t="s">
        <v>78</v>
      </c>
      <c r="N926" t="s">
        <v>2737</v>
      </c>
      <c r="O926" t="s">
        <v>74</v>
      </c>
      <c r="P926" t="s">
        <v>74</v>
      </c>
      <c r="Q926" t="s">
        <v>74</v>
      </c>
      <c r="R926" t="s">
        <v>74</v>
      </c>
      <c r="S926" t="s">
        <v>74</v>
      </c>
      <c r="T926" t="s">
        <v>74</v>
      </c>
      <c r="U926" t="s">
        <v>12258</v>
      </c>
      <c r="V926" t="s">
        <v>12259</v>
      </c>
      <c r="W926" t="s">
        <v>12260</v>
      </c>
      <c r="X926" t="s">
        <v>12261</v>
      </c>
      <c r="Y926" t="s">
        <v>12262</v>
      </c>
      <c r="Z926" t="s">
        <v>12263</v>
      </c>
      <c r="AA926" t="s">
        <v>12264</v>
      </c>
      <c r="AB926" t="s">
        <v>12265</v>
      </c>
      <c r="AC926" t="s">
        <v>74</v>
      </c>
      <c r="AD926" t="s">
        <v>74</v>
      </c>
      <c r="AE926" t="s">
        <v>74</v>
      </c>
      <c r="AF926" t="s">
        <v>74</v>
      </c>
      <c r="AG926">
        <v>46</v>
      </c>
      <c r="AH926">
        <v>43</v>
      </c>
      <c r="AI926">
        <v>48</v>
      </c>
      <c r="AJ926">
        <v>0</v>
      </c>
      <c r="AK926">
        <v>50</v>
      </c>
      <c r="AL926" t="s">
        <v>6004</v>
      </c>
      <c r="AM926" t="s">
        <v>6005</v>
      </c>
      <c r="AN926" t="s">
        <v>6006</v>
      </c>
      <c r="AO926" t="s">
        <v>5986</v>
      </c>
      <c r="AP926" t="s">
        <v>5987</v>
      </c>
      <c r="AQ926" t="s">
        <v>74</v>
      </c>
      <c r="AR926" t="s">
        <v>5988</v>
      </c>
      <c r="AS926" t="s">
        <v>5989</v>
      </c>
      <c r="AT926" t="s">
        <v>11917</v>
      </c>
      <c r="AU926">
        <v>2008</v>
      </c>
      <c r="AV926">
        <v>40</v>
      </c>
      <c r="AW926">
        <v>1</v>
      </c>
      <c r="AX926" t="s">
        <v>74</v>
      </c>
      <c r="AY926" t="s">
        <v>74</v>
      </c>
      <c r="AZ926" t="s">
        <v>74</v>
      </c>
      <c r="BA926" t="s">
        <v>74</v>
      </c>
      <c r="BB926">
        <v>171</v>
      </c>
      <c r="BC926">
        <v>180</v>
      </c>
      <c r="BD926" t="s">
        <v>74</v>
      </c>
      <c r="BE926" t="s">
        <v>12266</v>
      </c>
      <c r="BF926" t="str">
        <f>HYPERLINK("http://dx.doi.org/10.1657/1523-0430(06-114)[SORENSEN]2.0.CO;2","http://dx.doi.org/10.1657/1523-0430(06-114)[SORENSEN]2.0.CO;2")</f>
        <v>http://dx.doi.org/10.1657/1523-0430(06-114)[SORENSEN]2.0.CO;2</v>
      </c>
      <c r="BG926" t="s">
        <v>74</v>
      </c>
      <c r="BH926" t="s">
        <v>74</v>
      </c>
      <c r="BI926">
        <v>10</v>
      </c>
      <c r="BJ926" t="s">
        <v>5991</v>
      </c>
      <c r="BK926" t="s">
        <v>419</v>
      </c>
      <c r="BL926" t="s">
        <v>5992</v>
      </c>
      <c r="BM926" t="s">
        <v>12059</v>
      </c>
      <c r="BN926" t="s">
        <v>74</v>
      </c>
      <c r="BO926" t="s">
        <v>3110</v>
      </c>
      <c r="BP926" t="s">
        <v>74</v>
      </c>
      <c r="BQ926" t="s">
        <v>74</v>
      </c>
      <c r="BR926" t="s">
        <v>101</v>
      </c>
      <c r="BS926" t="s">
        <v>12267</v>
      </c>
      <c r="BT926" t="str">
        <f>HYPERLINK("https%3A%2F%2Fwww.webofscience.com%2Fwos%2Fwoscc%2Ffull-record%2FWOS:000252869000019","View Full Record in Web of Science")</f>
        <v>View Full Record in Web of Science</v>
      </c>
    </row>
    <row r="927" spans="1:72" x14ac:dyDescent="0.15">
      <c r="A927" t="s">
        <v>72</v>
      </c>
      <c r="B927" t="s">
        <v>12268</v>
      </c>
      <c r="C927" t="s">
        <v>74</v>
      </c>
      <c r="D927" t="s">
        <v>74</v>
      </c>
      <c r="E927" t="s">
        <v>74</v>
      </c>
      <c r="F927" t="s">
        <v>12269</v>
      </c>
      <c r="G927" t="s">
        <v>74</v>
      </c>
      <c r="H927" t="s">
        <v>74</v>
      </c>
      <c r="I927" t="s">
        <v>12270</v>
      </c>
      <c r="J927" t="s">
        <v>5977</v>
      </c>
      <c r="K927" t="s">
        <v>74</v>
      </c>
      <c r="L927" t="s">
        <v>74</v>
      </c>
      <c r="M927" t="s">
        <v>78</v>
      </c>
      <c r="N927" t="s">
        <v>2737</v>
      </c>
      <c r="O927" t="s">
        <v>74</v>
      </c>
      <c r="P927" t="s">
        <v>74</v>
      </c>
      <c r="Q927" t="s">
        <v>74</v>
      </c>
      <c r="R927" t="s">
        <v>74</v>
      </c>
      <c r="S927" t="s">
        <v>74</v>
      </c>
      <c r="T927" t="s">
        <v>74</v>
      </c>
      <c r="U927" t="s">
        <v>12271</v>
      </c>
      <c r="V927" t="s">
        <v>12272</v>
      </c>
      <c r="W927" t="s">
        <v>12273</v>
      </c>
      <c r="X927" t="s">
        <v>12274</v>
      </c>
      <c r="Y927" t="s">
        <v>12275</v>
      </c>
      <c r="Z927" t="s">
        <v>12276</v>
      </c>
      <c r="AA927" t="s">
        <v>12277</v>
      </c>
      <c r="AB927" t="s">
        <v>12278</v>
      </c>
      <c r="AC927" t="s">
        <v>74</v>
      </c>
      <c r="AD927" t="s">
        <v>74</v>
      </c>
      <c r="AE927" t="s">
        <v>74</v>
      </c>
      <c r="AF927" t="s">
        <v>74</v>
      </c>
      <c r="AG927">
        <v>62</v>
      </c>
      <c r="AH927">
        <v>56</v>
      </c>
      <c r="AI927">
        <v>73</v>
      </c>
      <c r="AJ927">
        <v>1</v>
      </c>
      <c r="AK927">
        <v>53</v>
      </c>
      <c r="AL927" t="s">
        <v>2815</v>
      </c>
      <c r="AM927" t="s">
        <v>2816</v>
      </c>
      <c r="AN927" t="s">
        <v>2817</v>
      </c>
      <c r="AO927" t="s">
        <v>5986</v>
      </c>
      <c r="AP927" t="s">
        <v>5987</v>
      </c>
      <c r="AQ927" t="s">
        <v>74</v>
      </c>
      <c r="AR927" t="s">
        <v>5988</v>
      </c>
      <c r="AS927" t="s">
        <v>5989</v>
      </c>
      <c r="AT927" t="s">
        <v>11917</v>
      </c>
      <c r="AU927">
        <v>2008</v>
      </c>
      <c r="AV927">
        <v>40</v>
      </c>
      <c r="AW927">
        <v>1</v>
      </c>
      <c r="AX927" t="s">
        <v>74</v>
      </c>
      <c r="AY927" t="s">
        <v>74</v>
      </c>
      <c r="AZ927" t="s">
        <v>74</v>
      </c>
      <c r="BA927" t="s">
        <v>74</v>
      </c>
      <c r="BB927">
        <v>181</v>
      </c>
      <c r="BC927">
        <v>191</v>
      </c>
      <c r="BD927" t="s">
        <v>74</v>
      </c>
      <c r="BE927" t="s">
        <v>12279</v>
      </c>
      <c r="BF927" t="str">
        <f>HYPERLINK("http://dx.doi.org/10.1657/1523-0430(06-015)[STARR]2.0.CO;2","http://dx.doi.org/10.1657/1523-0430(06-015)[STARR]2.0.CO;2")</f>
        <v>http://dx.doi.org/10.1657/1523-0430(06-015)[STARR]2.0.CO;2</v>
      </c>
      <c r="BG927" t="s">
        <v>74</v>
      </c>
      <c r="BH927" t="s">
        <v>74</v>
      </c>
      <c r="BI927">
        <v>11</v>
      </c>
      <c r="BJ927" t="s">
        <v>5991</v>
      </c>
      <c r="BK927" t="s">
        <v>419</v>
      </c>
      <c r="BL927" t="s">
        <v>5992</v>
      </c>
      <c r="BM927" t="s">
        <v>12059</v>
      </c>
      <c r="BN927" t="s">
        <v>74</v>
      </c>
      <c r="BO927" t="s">
        <v>3110</v>
      </c>
      <c r="BP927" t="s">
        <v>74</v>
      </c>
      <c r="BQ927" t="s">
        <v>74</v>
      </c>
      <c r="BR927" t="s">
        <v>101</v>
      </c>
      <c r="BS927" t="s">
        <v>12280</v>
      </c>
      <c r="BT927" t="str">
        <f>HYPERLINK("https%3A%2F%2Fwww.webofscience.com%2Fwos%2Fwoscc%2Ffull-record%2FWOS:000252869000020","View Full Record in Web of Science")</f>
        <v>View Full Record in Web of Science</v>
      </c>
    </row>
    <row r="928" spans="1:72" x14ac:dyDescent="0.15">
      <c r="A928" t="s">
        <v>72</v>
      </c>
      <c r="B928" t="s">
        <v>12281</v>
      </c>
      <c r="C928" t="s">
        <v>74</v>
      </c>
      <c r="D928" t="s">
        <v>74</v>
      </c>
      <c r="E928" t="s">
        <v>74</v>
      </c>
      <c r="F928" t="s">
        <v>12282</v>
      </c>
      <c r="G928" t="s">
        <v>74</v>
      </c>
      <c r="H928" t="s">
        <v>74</v>
      </c>
      <c r="I928" t="s">
        <v>12283</v>
      </c>
      <c r="J928" t="s">
        <v>5977</v>
      </c>
      <c r="K928" t="s">
        <v>74</v>
      </c>
      <c r="L928" t="s">
        <v>74</v>
      </c>
      <c r="M928" t="s">
        <v>78</v>
      </c>
      <c r="N928" t="s">
        <v>2737</v>
      </c>
      <c r="O928" t="s">
        <v>74</v>
      </c>
      <c r="P928" t="s">
        <v>74</v>
      </c>
      <c r="Q928" t="s">
        <v>74</v>
      </c>
      <c r="R928" t="s">
        <v>74</v>
      </c>
      <c r="S928" t="s">
        <v>74</v>
      </c>
      <c r="T928" t="s">
        <v>74</v>
      </c>
      <c r="U928" t="s">
        <v>12284</v>
      </c>
      <c r="V928" t="s">
        <v>12285</v>
      </c>
      <c r="W928" t="s">
        <v>12286</v>
      </c>
      <c r="X928" t="s">
        <v>1043</v>
      </c>
      <c r="Y928" t="s">
        <v>12287</v>
      </c>
      <c r="Z928" t="s">
        <v>12288</v>
      </c>
      <c r="AA928" t="s">
        <v>12289</v>
      </c>
      <c r="AB928" t="s">
        <v>12290</v>
      </c>
      <c r="AC928" t="s">
        <v>74</v>
      </c>
      <c r="AD928" t="s">
        <v>74</v>
      </c>
      <c r="AE928" t="s">
        <v>74</v>
      </c>
      <c r="AF928" t="s">
        <v>74</v>
      </c>
      <c r="AG928">
        <v>36</v>
      </c>
      <c r="AH928">
        <v>23</v>
      </c>
      <c r="AI928">
        <v>30</v>
      </c>
      <c r="AJ928">
        <v>4</v>
      </c>
      <c r="AK928">
        <v>69</v>
      </c>
      <c r="AL928" t="s">
        <v>6004</v>
      </c>
      <c r="AM928" t="s">
        <v>6005</v>
      </c>
      <c r="AN928" t="s">
        <v>6006</v>
      </c>
      <c r="AO928" t="s">
        <v>5986</v>
      </c>
      <c r="AP928" t="s">
        <v>5987</v>
      </c>
      <c r="AQ928" t="s">
        <v>74</v>
      </c>
      <c r="AR928" t="s">
        <v>5988</v>
      </c>
      <c r="AS928" t="s">
        <v>5989</v>
      </c>
      <c r="AT928" t="s">
        <v>11917</v>
      </c>
      <c r="AU928">
        <v>2008</v>
      </c>
      <c r="AV928">
        <v>40</v>
      </c>
      <c r="AW928">
        <v>1</v>
      </c>
      <c r="AX928" t="s">
        <v>74</v>
      </c>
      <c r="AY928" t="s">
        <v>74</v>
      </c>
      <c r="AZ928" t="s">
        <v>74</v>
      </c>
      <c r="BA928" t="s">
        <v>74</v>
      </c>
      <c r="BB928">
        <v>192</v>
      </c>
      <c r="BC928">
        <v>198</v>
      </c>
      <c r="BD928" t="s">
        <v>74</v>
      </c>
      <c r="BE928" t="s">
        <v>12291</v>
      </c>
      <c r="BF928" t="str">
        <f>HYPERLINK("http://dx.doi.org/10.1657/1523-0430(06-105)[THOMPSON]2.0.CO;2","http://dx.doi.org/10.1657/1523-0430(06-105)[THOMPSON]2.0.CO;2")</f>
        <v>http://dx.doi.org/10.1657/1523-0430(06-105)[THOMPSON]2.0.CO;2</v>
      </c>
      <c r="BG928" t="s">
        <v>74</v>
      </c>
      <c r="BH928" t="s">
        <v>74</v>
      </c>
      <c r="BI928">
        <v>7</v>
      </c>
      <c r="BJ928" t="s">
        <v>5991</v>
      </c>
      <c r="BK928" t="s">
        <v>419</v>
      </c>
      <c r="BL928" t="s">
        <v>5992</v>
      </c>
      <c r="BM928" t="s">
        <v>12059</v>
      </c>
      <c r="BN928" t="s">
        <v>74</v>
      </c>
      <c r="BO928" t="s">
        <v>4015</v>
      </c>
      <c r="BP928" t="s">
        <v>74</v>
      </c>
      <c r="BQ928" t="s">
        <v>74</v>
      </c>
      <c r="BR928" t="s">
        <v>101</v>
      </c>
      <c r="BS928" t="s">
        <v>12292</v>
      </c>
      <c r="BT928" t="str">
        <f>HYPERLINK("https%3A%2F%2Fwww.webofscience.com%2Fwos%2Fwoscc%2Ffull-record%2FWOS:000252869000021","View Full Record in Web of Science")</f>
        <v>View Full Record in Web of Science</v>
      </c>
    </row>
    <row r="929" spans="1:72" x14ac:dyDescent="0.15">
      <c r="A929" t="s">
        <v>72</v>
      </c>
      <c r="B929" t="s">
        <v>12293</v>
      </c>
      <c r="C929" t="s">
        <v>74</v>
      </c>
      <c r="D929" t="s">
        <v>74</v>
      </c>
      <c r="E929" t="s">
        <v>74</v>
      </c>
      <c r="F929" t="s">
        <v>12294</v>
      </c>
      <c r="G929" t="s">
        <v>74</v>
      </c>
      <c r="H929" t="s">
        <v>74</v>
      </c>
      <c r="I929" t="s">
        <v>12295</v>
      </c>
      <c r="J929" t="s">
        <v>5977</v>
      </c>
      <c r="K929" t="s">
        <v>74</v>
      </c>
      <c r="L929" t="s">
        <v>74</v>
      </c>
      <c r="M929" t="s">
        <v>78</v>
      </c>
      <c r="N929" t="s">
        <v>2737</v>
      </c>
      <c r="O929" t="s">
        <v>74</v>
      </c>
      <c r="P929" t="s">
        <v>74</v>
      </c>
      <c r="Q929" t="s">
        <v>74</v>
      </c>
      <c r="R929" t="s">
        <v>74</v>
      </c>
      <c r="S929" t="s">
        <v>74</v>
      </c>
      <c r="T929" t="s">
        <v>74</v>
      </c>
      <c r="U929" t="s">
        <v>12296</v>
      </c>
      <c r="V929" t="s">
        <v>12297</v>
      </c>
      <c r="W929" t="s">
        <v>12298</v>
      </c>
      <c r="X929" t="s">
        <v>12299</v>
      </c>
      <c r="Y929" t="s">
        <v>12300</v>
      </c>
      <c r="Z929" t="s">
        <v>12301</v>
      </c>
      <c r="AA929" t="s">
        <v>74</v>
      </c>
      <c r="AB929" t="s">
        <v>74</v>
      </c>
      <c r="AC929" t="s">
        <v>74</v>
      </c>
      <c r="AD929" t="s">
        <v>74</v>
      </c>
      <c r="AE929" t="s">
        <v>74</v>
      </c>
      <c r="AF929" t="s">
        <v>74</v>
      </c>
      <c r="AG929">
        <v>44</v>
      </c>
      <c r="AH929">
        <v>13</v>
      </c>
      <c r="AI929">
        <v>14</v>
      </c>
      <c r="AJ929">
        <v>0</v>
      </c>
      <c r="AK929">
        <v>11</v>
      </c>
      <c r="AL929" t="s">
        <v>2815</v>
      </c>
      <c r="AM929" t="s">
        <v>2816</v>
      </c>
      <c r="AN929" t="s">
        <v>2817</v>
      </c>
      <c r="AO929" t="s">
        <v>5986</v>
      </c>
      <c r="AP929" t="s">
        <v>5987</v>
      </c>
      <c r="AQ929" t="s">
        <v>74</v>
      </c>
      <c r="AR929" t="s">
        <v>5988</v>
      </c>
      <c r="AS929" t="s">
        <v>5989</v>
      </c>
      <c r="AT929" t="s">
        <v>11917</v>
      </c>
      <c r="AU929">
        <v>2008</v>
      </c>
      <c r="AV929">
        <v>40</v>
      </c>
      <c r="AW929">
        <v>1</v>
      </c>
      <c r="AX929" t="s">
        <v>74</v>
      </c>
      <c r="AY929" t="s">
        <v>74</v>
      </c>
      <c r="AZ929" t="s">
        <v>74</v>
      </c>
      <c r="BA929" t="s">
        <v>74</v>
      </c>
      <c r="BB929">
        <v>199</v>
      </c>
      <c r="BC929">
        <v>214</v>
      </c>
      <c r="BD929" t="s">
        <v>74</v>
      </c>
      <c r="BE929" t="s">
        <v>12302</v>
      </c>
      <c r="BF929" t="str">
        <f>HYPERLINK("http://dx.doi.org/10.1657/1523-0430(06-084)[THOST]2.0.CO;2","http://dx.doi.org/10.1657/1523-0430(06-084)[THOST]2.0.CO;2")</f>
        <v>http://dx.doi.org/10.1657/1523-0430(06-084)[THOST]2.0.CO;2</v>
      </c>
      <c r="BG929" t="s">
        <v>74</v>
      </c>
      <c r="BH929" t="s">
        <v>74</v>
      </c>
      <c r="BI929">
        <v>16</v>
      </c>
      <c r="BJ929" t="s">
        <v>5991</v>
      </c>
      <c r="BK929" t="s">
        <v>419</v>
      </c>
      <c r="BL929" t="s">
        <v>5992</v>
      </c>
      <c r="BM929" t="s">
        <v>12059</v>
      </c>
      <c r="BN929" t="s">
        <v>74</v>
      </c>
      <c r="BO929" t="s">
        <v>6104</v>
      </c>
      <c r="BP929" t="s">
        <v>74</v>
      </c>
      <c r="BQ929" t="s">
        <v>74</v>
      </c>
      <c r="BR929" t="s">
        <v>101</v>
      </c>
      <c r="BS929" t="s">
        <v>12303</v>
      </c>
      <c r="BT929" t="str">
        <f>HYPERLINK("https%3A%2F%2Fwww.webofscience.com%2Fwos%2Fwoscc%2Ffull-record%2FWOS:000252869000022","View Full Record in Web of Science")</f>
        <v>View Full Record in Web of Science</v>
      </c>
    </row>
    <row r="930" spans="1:72" x14ac:dyDescent="0.15">
      <c r="A930" t="s">
        <v>72</v>
      </c>
      <c r="B930" t="s">
        <v>12304</v>
      </c>
      <c r="C930" t="s">
        <v>74</v>
      </c>
      <c r="D930" t="s">
        <v>74</v>
      </c>
      <c r="E930" t="s">
        <v>74</v>
      </c>
      <c r="F930" t="s">
        <v>12305</v>
      </c>
      <c r="G930" t="s">
        <v>74</v>
      </c>
      <c r="H930" t="s">
        <v>74</v>
      </c>
      <c r="I930" t="s">
        <v>12306</v>
      </c>
      <c r="J930" t="s">
        <v>5977</v>
      </c>
      <c r="K930" t="s">
        <v>74</v>
      </c>
      <c r="L930" t="s">
        <v>74</v>
      </c>
      <c r="M930" t="s">
        <v>78</v>
      </c>
      <c r="N930" t="s">
        <v>2958</v>
      </c>
      <c r="O930" t="s">
        <v>74</v>
      </c>
      <c r="P930" t="s">
        <v>74</v>
      </c>
      <c r="Q930" t="s">
        <v>74</v>
      </c>
      <c r="R930" t="s">
        <v>74</v>
      </c>
      <c r="S930" t="s">
        <v>74</v>
      </c>
      <c r="T930" t="s">
        <v>74</v>
      </c>
      <c r="U930" t="s">
        <v>12307</v>
      </c>
      <c r="V930" t="s">
        <v>12308</v>
      </c>
      <c r="W930" t="s">
        <v>12309</v>
      </c>
      <c r="X930" t="s">
        <v>12310</v>
      </c>
      <c r="Y930" t="s">
        <v>12311</v>
      </c>
      <c r="Z930" t="s">
        <v>12312</v>
      </c>
      <c r="AA930" t="s">
        <v>74</v>
      </c>
      <c r="AB930" t="s">
        <v>74</v>
      </c>
      <c r="AC930" t="s">
        <v>74</v>
      </c>
      <c r="AD930" t="s">
        <v>74</v>
      </c>
      <c r="AE930" t="s">
        <v>74</v>
      </c>
      <c r="AF930" t="s">
        <v>74</v>
      </c>
      <c r="AG930">
        <v>110</v>
      </c>
      <c r="AH930">
        <v>19</v>
      </c>
      <c r="AI930">
        <v>25</v>
      </c>
      <c r="AJ930">
        <v>2</v>
      </c>
      <c r="AK930">
        <v>43</v>
      </c>
      <c r="AL930" t="s">
        <v>6004</v>
      </c>
      <c r="AM930" t="s">
        <v>6005</v>
      </c>
      <c r="AN930" t="s">
        <v>6006</v>
      </c>
      <c r="AO930" t="s">
        <v>5986</v>
      </c>
      <c r="AP930" t="s">
        <v>74</v>
      </c>
      <c r="AQ930" t="s">
        <v>74</v>
      </c>
      <c r="AR930" t="s">
        <v>5988</v>
      </c>
      <c r="AS930" t="s">
        <v>5989</v>
      </c>
      <c r="AT930" t="s">
        <v>11917</v>
      </c>
      <c r="AU930">
        <v>2008</v>
      </c>
      <c r="AV930">
        <v>40</v>
      </c>
      <c r="AW930">
        <v>1</v>
      </c>
      <c r="AX930" t="s">
        <v>74</v>
      </c>
      <c r="AY930" t="s">
        <v>74</v>
      </c>
      <c r="AZ930" t="s">
        <v>74</v>
      </c>
      <c r="BA930" t="s">
        <v>74</v>
      </c>
      <c r="BB930">
        <v>215</v>
      </c>
      <c r="BC930">
        <v>224</v>
      </c>
      <c r="BD930" t="s">
        <v>74</v>
      </c>
      <c r="BE930" t="s">
        <v>12313</v>
      </c>
      <c r="BF930" t="str">
        <f>HYPERLINK("http://dx.doi.org/10.1657/1523-0430(07-001)[VISTNES]2.0.CO;2","http://dx.doi.org/10.1657/1523-0430(07-001)[VISTNES]2.0.CO;2")</f>
        <v>http://dx.doi.org/10.1657/1523-0430(07-001)[VISTNES]2.0.CO;2</v>
      </c>
      <c r="BG930" t="s">
        <v>74</v>
      </c>
      <c r="BH930" t="s">
        <v>74</v>
      </c>
      <c r="BI930">
        <v>10</v>
      </c>
      <c r="BJ930" t="s">
        <v>5991</v>
      </c>
      <c r="BK930" t="s">
        <v>419</v>
      </c>
      <c r="BL930" t="s">
        <v>5992</v>
      </c>
      <c r="BM930" t="s">
        <v>12059</v>
      </c>
      <c r="BN930" t="s">
        <v>74</v>
      </c>
      <c r="BO930" t="s">
        <v>3110</v>
      </c>
      <c r="BP930" t="s">
        <v>74</v>
      </c>
      <c r="BQ930" t="s">
        <v>74</v>
      </c>
      <c r="BR930" t="s">
        <v>101</v>
      </c>
      <c r="BS930" t="s">
        <v>12314</v>
      </c>
      <c r="BT930" t="str">
        <f>HYPERLINK("https%3A%2F%2Fwww.webofscience.com%2Fwos%2Fwoscc%2Ffull-record%2FWOS:000252869000023","View Full Record in Web of Science")</f>
        <v>View Full Record in Web of Science</v>
      </c>
    </row>
    <row r="931" spans="1:72" x14ac:dyDescent="0.15">
      <c r="A931" t="s">
        <v>72</v>
      </c>
      <c r="B931" t="s">
        <v>12315</v>
      </c>
      <c r="C931" t="s">
        <v>74</v>
      </c>
      <c r="D931" t="s">
        <v>74</v>
      </c>
      <c r="E931" t="s">
        <v>74</v>
      </c>
      <c r="F931" t="s">
        <v>12316</v>
      </c>
      <c r="G931" t="s">
        <v>74</v>
      </c>
      <c r="H931" t="s">
        <v>74</v>
      </c>
      <c r="I931" t="s">
        <v>12317</v>
      </c>
      <c r="J931" t="s">
        <v>5977</v>
      </c>
      <c r="K931" t="s">
        <v>74</v>
      </c>
      <c r="L931" t="s">
        <v>74</v>
      </c>
      <c r="M931" t="s">
        <v>78</v>
      </c>
      <c r="N931" t="s">
        <v>2737</v>
      </c>
      <c r="O931" t="s">
        <v>74</v>
      </c>
      <c r="P931" t="s">
        <v>74</v>
      </c>
      <c r="Q931" t="s">
        <v>74</v>
      </c>
      <c r="R931" t="s">
        <v>74</v>
      </c>
      <c r="S931" t="s">
        <v>74</v>
      </c>
      <c r="T931" t="s">
        <v>74</v>
      </c>
      <c r="U931" t="s">
        <v>12318</v>
      </c>
      <c r="V931" t="s">
        <v>12319</v>
      </c>
      <c r="W931" t="s">
        <v>12320</v>
      </c>
      <c r="X931" t="s">
        <v>12321</v>
      </c>
      <c r="Y931" t="s">
        <v>12322</v>
      </c>
      <c r="Z931" t="s">
        <v>12323</v>
      </c>
      <c r="AA931" t="s">
        <v>74</v>
      </c>
      <c r="AB931" t="s">
        <v>12324</v>
      </c>
      <c r="AC931" t="s">
        <v>74</v>
      </c>
      <c r="AD931" t="s">
        <v>74</v>
      </c>
      <c r="AE931" t="s">
        <v>74</v>
      </c>
      <c r="AF931" t="s">
        <v>74</v>
      </c>
      <c r="AG931">
        <v>64</v>
      </c>
      <c r="AH931">
        <v>92</v>
      </c>
      <c r="AI931">
        <v>98</v>
      </c>
      <c r="AJ931">
        <v>1</v>
      </c>
      <c r="AK931">
        <v>43</v>
      </c>
      <c r="AL931" t="s">
        <v>2815</v>
      </c>
      <c r="AM931" t="s">
        <v>2816</v>
      </c>
      <c r="AN931" t="s">
        <v>2817</v>
      </c>
      <c r="AO931" t="s">
        <v>5986</v>
      </c>
      <c r="AP931" t="s">
        <v>5987</v>
      </c>
      <c r="AQ931" t="s">
        <v>74</v>
      </c>
      <c r="AR931" t="s">
        <v>5988</v>
      </c>
      <c r="AS931" t="s">
        <v>5989</v>
      </c>
      <c r="AT931" t="s">
        <v>11917</v>
      </c>
      <c r="AU931">
        <v>2008</v>
      </c>
      <c r="AV931">
        <v>40</v>
      </c>
      <c r="AW931">
        <v>1</v>
      </c>
      <c r="AX931" t="s">
        <v>74</v>
      </c>
      <c r="AY931" t="s">
        <v>74</v>
      </c>
      <c r="AZ931" t="s">
        <v>74</v>
      </c>
      <c r="BA931" t="s">
        <v>74</v>
      </c>
      <c r="BB931">
        <v>225</v>
      </c>
      <c r="BC931">
        <v>232</v>
      </c>
      <c r="BD931" t="s">
        <v>74</v>
      </c>
      <c r="BE931" t="s">
        <v>12325</v>
      </c>
      <c r="BF931" t="str">
        <f>HYPERLINK("http://dx.doi.org/10.1657/1523-0430(06-010)[VITTOZ]2.0.CO;2","http://dx.doi.org/10.1657/1523-0430(06-010)[VITTOZ]2.0.CO;2")</f>
        <v>http://dx.doi.org/10.1657/1523-0430(06-010)[VITTOZ]2.0.CO;2</v>
      </c>
      <c r="BG931" t="s">
        <v>74</v>
      </c>
      <c r="BH931" t="s">
        <v>74</v>
      </c>
      <c r="BI931">
        <v>8</v>
      </c>
      <c r="BJ931" t="s">
        <v>5991</v>
      </c>
      <c r="BK931" t="s">
        <v>419</v>
      </c>
      <c r="BL931" t="s">
        <v>5992</v>
      </c>
      <c r="BM931" t="s">
        <v>12059</v>
      </c>
      <c r="BN931" t="s">
        <v>74</v>
      </c>
      <c r="BO931" t="s">
        <v>4388</v>
      </c>
      <c r="BP931" t="s">
        <v>74</v>
      </c>
      <c r="BQ931" t="s">
        <v>74</v>
      </c>
      <c r="BR931" t="s">
        <v>101</v>
      </c>
      <c r="BS931" t="s">
        <v>12326</v>
      </c>
      <c r="BT931" t="str">
        <f>HYPERLINK("https%3A%2F%2Fwww.webofscience.com%2Fwos%2Fwoscc%2Ffull-record%2FWOS:000252869000024","View Full Record in Web of Science")</f>
        <v>View Full Record in Web of Science</v>
      </c>
    </row>
    <row r="932" spans="1:72" x14ac:dyDescent="0.15">
      <c r="A932" t="s">
        <v>72</v>
      </c>
      <c r="B932" t="s">
        <v>12327</v>
      </c>
      <c r="C932" t="s">
        <v>74</v>
      </c>
      <c r="D932" t="s">
        <v>74</v>
      </c>
      <c r="E932" t="s">
        <v>74</v>
      </c>
      <c r="F932" t="s">
        <v>12328</v>
      </c>
      <c r="G932" t="s">
        <v>74</v>
      </c>
      <c r="H932" t="s">
        <v>74</v>
      </c>
      <c r="I932" t="s">
        <v>12329</v>
      </c>
      <c r="J932" t="s">
        <v>5977</v>
      </c>
      <c r="K932" t="s">
        <v>74</v>
      </c>
      <c r="L932" t="s">
        <v>74</v>
      </c>
      <c r="M932" t="s">
        <v>78</v>
      </c>
      <c r="N932" t="s">
        <v>2737</v>
      </c>
      <c r="O932" t="s">
        <v>74</v>
      </c>
      <c r="P932" t="s">
        <v>74</v>
      </c>
      <c r="Q932" t="s">
        <v>74</v>
      </c>
      <c r="R932" t="s">
        <v>74</v>
      </c>
      <c r="S932" t="s">
        <v>74</v>
      </c>
      <c r="T932" t="s">
        <v>74</v>
      </c>
      <c r="U932" t="s">
        <v>12330</v>
      </c>
      <c r="V932" t="s">
        <v>12331</v>
      </c>
      <c r="W932" t="s">
        <v>12332</v>
      </c>
      <c r="X932" t="s">
        <v>12333</v>
      </c>
      <c r="Y932" t="s">
        <v>12334</v>
      </c>
      <c r="Z932" t="s">
        <v>12335</v>
      </c>
      <c r="AA932" t="s">
        <v>12336</v>
      </c>
      <c r="AB932" t="s">
        <v>12337</v>
      </c>
      <c r="AC932" t="s">
        <v>74</v>
      </c>
      <c r="AD932" t="s">
        <v>74</v>
      </c>
      <c r="AE932" t="s">
        <v>74</v>
      </c>
      <c r="AF932" t="s">
        <v>74</v>
      </c>
      <c r="AG932">
        <v>33</v>
      </c>
      <c r="AH932">
        <v>14</v>
      </c>
      <c r="AI932">
        <v>16</v>
      </c>
      <c r="AJ932">
        <v>3</v>
      </c>
      <c r="AK932">
        <v>34</v>
      </c>
      <c r="AL932" t="s">
        <v>6004</v>
      </c>
      <c r="AM932" t="s">
        <v>6005</v>
      </c>
      <c r="AN932" t="s">
        <v>6006</v>
      </c>
      <c r="AO932" t="s">
        <v>5986</v>
      </c>
      <c r="AP932" t="s">
        <v>74</v>
      </c>
      <c r="AQ932" t="s">
        <v>74</v>
      </c>
      <c r="AR932" t="s">
        <v>5988</v>
      </c>
      <c r="AS932" t="s">
        <v>5989</v>
      </c>
      <c r="AT932" t="s">
        <v>11917</v>
      </c>
      <c r="AU932">
        <v>2008</v>
      </c>
      <c r="AV932">
        <v>40</v>
      </c>
      <c r="AW932">
        <v>1</v>
      </c>
      <c r="AX932" t="s">
        <v>74</v>
      </c>
      <c r="AY932" t="s">
        <v>74</v>
      </c>
      <c r="AZ932" t="s">
        <v>74</v>
      </c>
      <c r="BA932" t="s">
        <v>74</v>
      </c>
      <c r="BB932">
        <v>233</v>
      </c>
      <c r="BC932">
        <v>239</v>
      </c>
      <c r="BD932" t="s">
        <v>74</v>
      </c>
      <c r="BE932" t="s">
        <v>12338</v>
      </c>
      <c r="BF932" t="str">
        <f>HYPERLINK("http://dx.doi.org/10.1657/1523-0430(07-003)[WAGNER]2.0.CO;2","http://dx.doi.org/10.1657/1523-0430(07-003)[WAGNER]2.0.CO;2")</f>
        <v>http://dx.doi.org/10.1657/1523-0430(07-003)[WAGNER]2.0.CO;2</v>
      </c>
      <c r="BG932" t="s">
        <v>74</v>
      </c>
      <c r="BH932" t="s">
        <v>74</v>
      </c>
      <c r="BI932">
        <v>7</v>
      </c>
      <c r="BJ932" t="s">
        <v>5991</v>
      </c>
      <c r="BK932" t="s">
        <v>419</v>
      </c>
      <c r="BL932" t="s">
        <v>5992</v>
      </c>
      <c r="BM932" t="s">
        <v>12059</v>
      </c>
      <c r="BN932" t="s">
        <v>74</v>
      </c>
      <c r="BO932" t="s">
        <v>4015</v>
      </c>
      <c r="BP932" t="s">
        <v>74</v>
      </c>
      <c r="BQ932" t="s">
        <v>74</v>
      </c>
      <c r="BR932" t="s">
        <v>101</v>
      </c>
      <c r="BS932" t="s">
        <v>12339</v>
      </c>
      <c r="BT932" t="str">
        <f>HYPERLINK("https%3A%2F%2Fwww.webofscience.com%2Fwos%2Fwoscc%2Ffull-record%2FWOS:000252869000025","View Full Record in Web of Science")</f>
        <v>View Full Record in Web of Science</v>
      </c>
    </row>
    <row r="933" spans="1:72" x14ac:dyDescent="0.15">
      <c r="A933" t="s">
        <v>72</v>
      </c>
      <c r="B933" t="s">
        <v>12340</v>
      </c>
      <c r="C933" t="s">
        <v>74</v>
      </c>
      <c r="D933" t="s">
        <v>74</v>
      </c>
      <c r="E933" t="s">
        <v>74</v>
      </c>
      <c r="F933" t="s">
        <v>12341</v>
      </c>
      <c r="G933" t="s">
        <v>74</v>
      </c>
      <c r="H933" t="s">
        <v>74</v>
      </c>
      <c r="I933" t="s">
        <v>12342</v>
      </c>
      <c r="J933" t="s">
        <v>5977</v>
      </c>
      <c r="K933" t="s">
        <v>74</v>
      </c>
      <c r="L933" t="s">
        <v>74</v>
      </c>
      <c r="M933" t="s">
        <v>78</v>
      </c>
      <c r="N933" t="s">
        <v>2737</v>
      </c>
      <c r="O933" t="s">
        <v>74</v>
      </c>
      <c r="P933" t="s">
        <v>74</v>
      </c>
      <c r="Q933" t="s">
        <v>74</v>
      </c>
      <c r="R933" t="s">
        <v>74</v>
      </c>
      <c r="S933" t="s">
        <v>74</v>
      </c>
      <c r="T933" t="s">
        <v>74</v>
      </c>
      <c r="U933" t="s">
        <v>12343</v>
      </c>
      <c r="V933" t="s">
        <v>12344</v>
      </c>
      <c r="W933" t="s">
        <v>12345</v>
      </c>
      <c r="X933" t="s">
        <v>12346</v>
      </c>
      <c r="Y933" t="s">
        <v>12347</v>
      </c>
      <c r="Z933" t="s">
        <v>12348</v>
      </c>
      <c r="AA933" t="s">
        <v>74</v>
      </c>
      <c r="AB933" t="s">
        <v>74</v>
      </c>
      <c r="AC933" t="s">
        <v>74</v>
      </c>
      <c r="AD933" t="s">
        <v>74</v>
      </c>
      <c r="AE933" t="s">
        <v>74</v>
      </c>
      <c r="AF933" t="s">
        <v>74</v>
      </c>
      <c r="AG933">
        <v>80</v>
      </c>
      <c r="AH933">
        <v>36</v>
      </c>
      <c r="AI933">
        <v>39</v>
      </c>
      <c r="AJ933">
        <v>0</v>
      </c>
      <c r="AK933">
        <v>2</v>
      </c>
      <c r="AL933" t="s">
        <v>2815</v>
      </c>
      <c r="AM933" t="s">
        <v>2816</v>
      </c>
      <c r="AN933" t="s">
        <v>2817</v>
      </c>
      <c r="AO933" t="s">
        <v>5986</v>
      </c>
      <c r="AP933" t="s">
        <v>5987</v>
      </c>
      <c r="AQ933" t="s">
        <v>74</v>
      </c>
      <c r="AR933" t="s">
        <v>5988</v>
      </c>
      <c r="AS933" t="s">
        <v>5989</v>
      </c>
      <c r="AT933" t="s">
        <v>11917</v>
      </c>
      <c r="AU933">
        <v>2008</v>
      </c>
      <c r="AV933">
        <v>40</v>
      </c>
      <c r="AW933">
        <v>1</v>
      </c>
      <c r="AX933" t="s">
        <v>74</v>
      </c>
      <c r="AY933" t="s">
        <v>74</v>
      </c>
      <c r="AZ933" t="s">
        <v>74</v>
      </c>
      <c r="BA933" t="s">
        <v>74</v>
      </c>
      <c r="BB933">
        <v>240</v>
      </c>
      <c r="BC933">
        <v>249</v>
      </c>
      <c r="BD933" t="s">
        <v>74</v>
      </c>
      <c r="BE933" t="s">
        <v>12349</v>
      </c>
      <c r="BF933" t="str">
        <f>HYPERLINK("http://dx.doi.org/10.1657/1523-0430(06-066)[WARDLE]2.0.CO;2","http://dx.doi.org/10.1657/1523-0430(06-066)[WARDLE]2.0.CO;2")</f>
        <v>http://dx.doi.org/10.1657/1523-0430(06-066)[WARDLE]2.0.CO;2</v>
      </c>
      <c r="BG933" t="s">
        <v>74</v>
      </c>
      <c r="BH933" t="s">
        <v>74</v>
      </c>
      <c r="BI933">
        <v>10</v>
      </c>
      <c r="BJ933" t="s">
        <v>5991</v>
      </c>
      <c r="BK933" t="s">
        <v>419</v>
      </c>
      <c r="BL933" t="s">
        <v>5992</v>
      </c>
      <c r="BM933" t="s">
        <v>12059</v>
      </c>
      <c r="BN933" t="s">
        <v>74</v>
      </c>
      <c r="BO933" t="s">
        <v>4015</v>
      </c>
      <c r="BP933" t="s">
        <v>74</v>
      </c>
      <c r="BQ933" t="s">
        <v>74</v>
      </c>
      <c r="BR933" t="s">
        <v>101</v>
      </c>
      <c r="BS933" t="s">
        <v>12350</v>
      </c>
      <c r="BT933" t="str">
        <f>HYPERLINK("https%3A%2F%2Fwww.webofscience.com%2Fwos%2Fwoscc%2Ffull-record%2FWOS:000252869000026","View Full Record in Web of Science")</f>
        <v>View Full Record in Web of Science</v>
      </c>
    </row>
    <row r="934" spans="1:72" x14ac:dyDescent="0.15">
      <c r="A934" t="s">
        <v>72</v>
      </c>
      <c r="B934" t="s">
        <v>12351</v>
      </c>
      <c r="C934" t="s">
        <v>74</v>
      </c>
      <c r="D934" t="s">
        <v>74</v>
      </c>
      <c r="E934" t="s">
        <v>74</v>
      </c>
      <c r="F934" t="s">
        <v>12352</v>
      </c>
      <c r="G934" t="s">
        <v>74</v>
      </c>
      <c r="H934" t="s">
        <v>74</v>
      </c>
      <c r="I934" t="s">
        <v>12353</v>
      </c>
      <c r="J934" t="s">
        <v>5977</v>
      </c>
      <c r="K934" t="s">
        <v>74</v>
      </c>
      <c r="L934" t="s">
        <v>74</v>
      </c>
      <c r="M934" t="s">
        <v>78</v>
      </c>
      <c r="N934" t="s">
        <v>2737</v>
      </c>
      <c r="O934" t="s">
        <v>74</v>
      </c>
      <c r="P934" t="s">
        <v>74</v>
      </c>
      <c r="Q934" t="s">
        <v>74</v>
      </c>
      <c r="R934" t="s">
        <v>74</v>
      </c>
      <c r="S934" t="s">
        <v>74</v>
      </c>
      <c r="T934" t="s">
        <v>74</v>
      </c>
      <c r="U934" t="s">
        <v>12354</v>
      </c>
      <c r="V934" t="s">
        <v>12355</v>
      </c>
      <c r="W934" t="s">
        <v>12356</v>
      </c>
      <c r="X934" t="s">
        <v>12357</v>
      </c>
      <c r="Y934" t="s">
        <v>12358</v>
      </c>
      <c r="Z934" t="s">
        <v>12359</v>
      </c>
      <c r="AA934" t="s">
        <v>12360</v>
      </c>
      <c r="AB934" t="s">
        <v>12361</v>
      </c>
      <c r="AC934" t="s">
        <v>74</v>
      </c>
      <c r="AD934" t="s">
        <v>74</v>
      </c>
      <c r="AE934" t="s">
        <v>74</v>
      </c>
      <c r="AF934" t="s">
        <v>74</v>
      </c>
      <c r="AG934">
        <v>35</v>
      </c>
      <c r="AH934">
        <v>37</v>
      </c>
      <c r="AI934">
        <v>49</v>
      </c>
      <c r="AJ934">
        <v>3</v>
      </c>
      <c r="AK934">
        <v>24</v>
      </c>
      <c r="AL934" t="s">
        <v>2815</v>
      </c>
      <c r="AM934" t="s">
        <v>2816</v>
      </c>
      <c r="AN934" t="s">
        <v>2817</v>
      </c>
      <c r="AO934" t="s">
        <v>5986</v>
      </c>
      <c r="AP934" t="s">
        <v>5987</v>
      </c>
      <c r="AQ934" t="s">
        <v>74</v>
      </c>
      <c r="AR934" t="s">
        <v>5988</v>
      </c>
      <c r="AS934" t="s">
        <v>5989</v>
      </c>
      <c r="AT934" t="s">
        <v>11917</v>
      </c>
      <c r="AU934">
        <v>2008</v>
      </c>
      <c r="AV934">
        <v>40</v>
      </c>
      <c r="AW934">
        <v>1</v>
      </c>
      <c r="AX934" t="s">
        <v>74</v>
      </c>
      <c r="AY934" t="s">
        <v>74</v>
      </c>
      <c r="AZ934" t="s">
        <v>74</v>
      </c>
      <c r="BA934" t="s">
        <v>74</v>
      </c>
      <c r="BB934">
        <v>250</v>
      </c>
      <c r="BC934">
        <v>255</v>
      </c>
      <c r="BD934" t="s">
        <v>74</v>
      </c>
      <c r="BE934" t="s">
        <v>12362</v>
      </c>
      <c r="BF934" t="str">
        <f>HYPERLINK("http://dx.doi.org/10.1657/1523-0430(07-009)[YANG]2.0.CO;2","http://dx.doi.org/10.1657/1523-0430(07-009)[YANG]2.0.CO;2")</f>
        <v>http://dx.doi.org/10.1657/1523-0430(07-009)[YANG]2.0.CO;2</v>
      </c>
      <c r="BG934" t="s">
        <v>74</v>
      </c>
      <c r="BH934" t="s">
        <v>74</v>
      </c>
      <c r="BI934">
        <v>6</v>
      </c>
      <c r="BJ934" t="s">
        <v>5991</v>
      </c>
      <c r="BK934" t="s">
        <v>419</v>
      </c>
      <c r="BL934" t="s">
        <v>5992</v>
      </c>
      <c r="BM934" t="s">
        <v>12059</v>
      </c>
      <c r="BN934" t="s">
        <v>74</v>
      </c>
      <c r="BO934" t="s">
        <v>4388</v>
      </c>
      <c r="BP934" t="s">
        <v>74</v>
      </c>
      <c r="BQ934" t="s">
        <v>74</v>
      </c>
      <c r="BR934" t="s">
        <v>101</v>
      </c>
      <c r="BS934" t="s">
        <v>12363</v>
      </c>
      <c r="BT934" t="str">
        <f>HYPERLINK("https%3A%2F%2Fwww.webofscience.com%2Fwos%2Fwoscc%2Ffull-record%2FWOS:000252869000027","View Full Record in Web of Science")</f>
        <v>View Full Record in Web of Science</v>
      </c>
    </row>
    <row r="935" spans="1:72" x14ac:dyDescent="0.15">
      <c r="A935" t="s">
        <v>72</v>
      </c>
      <c r="B935" t="s">
        <v>12364</v>
      </c>
      <c r="C935" t="s">
        <v>74</v>
      </c>
      <c r="D935" t="s">
        <v>74</v>
      </c>
      <c r="E935" t="s">
        <v>74</v>
      </c>
      <c r="F935" t="s">
        <v>12365</v>
      </c>
      <c r="G935" t="s">
        <v>74</v>
      </c>
      <c r="H935" t="s">
        <v>74</v>
      </c>
      <c r="I935" t="s">
        <v>12366</v>
      </c>
      <c r="J935" t="s">
        <v>5977</v>
      </c>
      <c r="K935" t="s">
        <v>74</v>
      </c>
      <c r="L935" t="s">
        <v>74</v>
      </c>
      <c r="M935" t="s">
        <v>78</v>
      </c>
      <c r="N935" t="s">
        <v>2737</v>
      </c>
      <c r="O935" t="s">
        <v>74</v>
      </c>
      <c r="P935" t="s">
        <v>74</v>
      </c>
      <c r="Q935" t="s">
        <v>74</v>
      </c>
      <c r="R935" t="s">
        <v>74</v>
      </c>
      <c r="S935" t="s">
        <v>74</v>
      </c>
      <c r="T935" t="s">
        <v>74</v>
      </c>
      <c r="U935" t="s">
        <v>12367</v>
      </c>
      <c r="V935" t="s">
        <v>12368</v>
      </c>
      <c r="W935" t="s">
        <v>12369</v>
      </c>
      <c r="X935" t="s">
        <v>12370</v>
      </c>
      <c r="Y935" t="s">
        <v>12371</v>
      </c>
      <c r="Z935" t="s">
        <v>12372</v>
      </c>
      <c r="AA935" t="s">
        <v>74</v>
      </c>
      <c r="AB935" t="s">
        <v>74</v>
      </c>
      <c r="AC935" t="s">
        <v>74</v>
      </c>
      <c r="AD935" t="s">
        <v>74</v>
      </c>
      <c r="AE935" t="s">
        <v>74</v>
      </c>
      <c r="AF935" t="s">
        <v>74</v>
      </c>
      <c r="AG935">
        <v>25</v>
      </c>
      <c r="AH935">
        <v>8</v>
      </c>
      <c r="AI935">
        <v>9</v>
      </c>
      <c r="AJ935">
        <v>2</v>
      </c>
      <c r="AK935">
        <v>15</v>
      </c>
      <c r="AL935" t="s">
        <v>2815</v>
      </c>
      <c r="AM935" t="s">
        <v>2816</v>
      </c>
      <c r="AN935" t="s">
        <v>2817</v>
      </c>
      <c r="AO935" t="s">
        <v>5986</v>
      </c>
      <c r="AP935" t="s">
        <v>5987</v>
      </c>
      <c r="AQ935" t="s">
        <v>74</v>
      </c>
      <c r="AR935" t="s">
        <v>5988</v>
      </c>
      <c r="AS935" t="s">
        <v>5989</v>
      </c>
      <c r="AT935" t="s">
        <v>11917</v>
      </c>
      <c r="AU935">
        <v>2008</v>
      </c>
      <c r="AV935">
        <v>40</v>
      </c>
      <c r="AW935">
        <v>1</v>
      </c>
      <c r="AX935" t="s">
        <v>74</v>
      </c>
      <c r="AY935" t="s">
        <v>74</v>
      </c>
      <c r="AZ935" t="s">
        <v>74</v>
      </c>
      <c r="BA935" t="s">
        <v>74</v>
      </c>
      <c r="BB935">
        <v>256</v>
      </c>
      <c r="BC935">
        <v>263</v>
      </c>
      <c r="BD935" t="s">
        <v>74</v>
      </c>
      <c r="BE935" t="s">
        <v>12373</v>
      </c>
      <c r="BF935" t="str">
        <f>HYPERLINK("http://dx.doi.org/10.1657/1523-0430(06-048)[ZHANG]2.0.CO;2","http://dx.doi.org/10.1657/1523-0430(06-048)[ZHANG]2.0.CO;2")</f>
        <v>http://dx.doi.org/10.1657/1523-0430(06-048)[ZHANG]2.0.CO;2</v>
      </c>
      <c r="BG935" t="s">
        <v>74</v>
      </c>
      <c r="BH935" t="s">
        <v>74</v>
      </c>
      <c r="BI935">
        <v>8</v>
      </c>
      <c r="BJ935" t="s">
        <v>5991</v>
      </c>
      <c r="BK935" t="s">
        <v>419</v>
      </c>
      <c r="BL935" t="s">
        <v>5992</v>
      </c>
      <c r="BM935" t="s">
        <v>12059</v>
      </c>
      <c r="BN935" t="s">
        <v>74</v>
      </c>
      <c r="BO935" t="s">
        <v>3110</v>
      </c>
      <c r="BP935" t="s">
        <v>74</v>
      </c>
      <c r="BQ935" t="s">
        <v>74</v>
      </c>
      <c r="BR935" t="s">
        <v>101</v>
      </c>
      <c r="BS935" t="s">
        <v>12374</v>
      </c>
      <c r="BT935" t="str">
        <f>HYPERLINK("https%3A%2F%2Fwww.webofscience.com%2Fwos%2Fwoscc%2Ffull-record%2FWOS:000252869000028","View Full Record in Web of Science")</f>
        <v>View Full Record in Web of Science</v>
      </c>
    </row>
    <row r="936" spans="1:72" x14ac:dyDescent="0.15">
      <c r="A936" t="s">
        <v>72</v>
      </c>
      <c r="B936" t="s">
        <v>12375</v>
      </c>
      <c r="C936" t="s">
        <v>74</v>
      </c>
      <c r="D936" t="s">
        <v>74</v>
      </c>
      <c r="E936" t="s">
        <v>74</v>
      </c>
      <c r="F936" t="s">
        <v>12376</v>
      </c>
      <c r="G936" t="s">
        <v>74</v>
      </c>
      <c r="H936" t="s">
        <v>74</v>
      </c>
      <c r="I936" t="s">
        <v>12377</v>
      </c>
      <c r="J936" t="s">
        <v>12378</v>
      </c>
      <c r="K936" t="s">
        <v>74</v>
      </c>
      <c r="L936" t="s">
        <v>74</v>
      </c>
      <c r="M936" t="s">
        <v>78</v>
      </c>
      <c r="N936" t="s">
        <v>2737</v>
      </c>
      <c r="O936" t="s">
        <v>74</v>
      </c>
      <c r="P936" t="s">
        <v>74</v>
      </c>
      <c r="Q936" t="s">
        <v>74</v>
      </c>
      <c r="R936" t="s">
        <v>74</v>
      </c>
      <c r="S936" t="s">
        <v>74</v>
      </c>
      <c r="T936" t="s">
        <v>12379</v>
      </c>
      <c r="U936" t="s">
        <v>12380</v>
      </c>
      <c r="V936" t="s">
        <v>12381</v>
      </c>
      <c r="W936" t="s">
        <v>12382</v>
      </c>
      <c r="X936" t="s">
        <v>12383</v>
      </c>
      <c r="Y936" t="s">
        <v>12384</v>
      </c>
      <c r="Z936" t="s">
        <v>12385</v>
      </c>
      <c r="AA936" t="s">
        <v>12386</v>
      </c>
      <c r="AB936" t="s">
        <v>12387</v>
      </c>
      <c r="AC936" t="s">
        <v>12388</v>
      </c>
      <c r="AD936" t="s">
        <v>12389</v>
      </c>
      <c r="AE936" t="s">
        <v>74</v>
      </c>
      <c r="AF936" t="s">
        <v>74</v>
      </c>
      <c r="AG936">
        <v>92</v>
      </c>
      <c r="AH936">
        <v>32</v>
      </c>
      <c r="AI936">
        <v>33</v>
      </c>
      <c r="AJ936">
        <v>0</v>
      </c>
      <c r="AK936">
        <v>20</v>
      </c>
      <c r="AL936" t="s">
        <v>12390</v>
      </c>
      <c r="AM936" t="s">
        <v>12391</v>
      </c>
      <c r="AN936" t="s">
        <v>12392</v>
      </c>
      <c r="AO936" t="s">
        <v>12393</v>
      </c>
      <c r="AP936" t="s">
        <v>12394</v>
      </c>
      <c r="AQ936" t="s">
        <v>74</v>
      </c>
      <c r="AR936" t="s">
        <v>12378</v>
      </c>
      <c r="AS936" t="s">
        <v>12395</v>
      </c>
      <c r="AT936" t="s">
        <v>11917</v>
      </c>
      <c r="AU936">
        <v>2008</v>
      </c>
      <c r="AV936">
        <v>8</v>
      </c>
      <c r="AW936">
        <v>1</v>
      </c>
      <c r="AX936" t="s">
        <v>74</v>
      </c>
      <c r="AY936" t="s">
        <v>74</v>
      </c>
      <c r="AZ936" t="s">
        <v>74</v>
      </c>
      <c r="BA936" t="s">
        <v>74</v>
      </c>
      <c r="BB936">
        <v>119</v>
      </c>
      <c r="BC936">
        <v>156</v>
      </c>
      <c r="BD936" t="s">
        <v>74</v>
      </c>
      <c r="BE936" t="s">
        <v>12396</v>
      </c>
      <c r="BF936" t="str">
        <f>HYPERLINK("http://dx.doi.org/10.1089/ast.2006.0037","http://dx.doi.org/10.1089/ast.2006.0037")</f>
        <v>http://dx.doi.org/10.1089/ast.2006.0037</v>
      </c>
      <c r="BG936" t="s">
        <v>74</v>
      </c>
      <c r="BH936" t="s">
        <v>74</v>
      </c>
      <c r="BI936">
        <v>38</v>
      </c>
      <c r="BJ936" t="s">
        <v>12397</v>
      </c>
      <c r="BK936" t="s">
        <v>419</v>
      </c>
      <c r="BL936" t="s">
        <v>12398</v>
      </c>
      <c r="BM936" t="s">
        <v>12399</v>
      </c>
      <c r="BN936">
        <v>18211229</v>
      </c>
      <c r="BO936" t="s">
        <v>3110</v>
      </c>
      <c r="BP936" t="s">
        <v>74</v>
      </c>
      <c r="BQ936" t="s">
        <v>74</v>
      </c>
      <c r="BR936" t="s">
        <v>101</v>
      </c>
      <c r="BS936" t="s">
        <v>12400</v>
      </c>
      <c r="BT936" t="str">
        <f>HYPERLINK("https%3A%2F%2Fwww.webofscience.com%2Fwos%2Fwoscc%2Ffull-record%2FWOS:000253995300009","View Full Record in Web of Science")</f>
        <v>View Full Record in Web of Science</v>
      </c>
    </row>
    <row r="937" spans="1:72" x14ac:dyDescent="0.15">
      <c r="A937" t="s">
        <v>72</v>
      </c>
      <c r="B937" t="s">
        <v>12401</v>
      </c>
      <c r="C937" t="s">
        <v>74</v>
      </c>
      <c r="D937" t="s">
        <v>74</v>
      </c>
      <c r="E937" t="s">
        <v>74</v>
      </c>
      <c r="F937" t="s">
        <v>12402</v>
      </c>
      <c r="G937" t="s">
        <v>74</v>
      </c>
      <c r="H937" t="s">
        <v>74</v>
      </c>
      <c r="I937" t="s">
        <v>12403</v>
      </c>
      <c r="J937" t="s">
        <v>12404</v>
      </c>
      <c r="K937" t="s">
        <v>74</v>
      </c>
      <c r="L937" t="s">
        <v>74</v>
      </c>
      <c r="M937" t="s">
        <v>78</v>
      </c>
      <c r="N937" t="s">
        <v>2737</v>
      </c>
      <c r="O937" t="s">
        <v>74</v>
      </c>
      <c r="P937" t="s">
        <v>74</v>
      </c>
      <c r="Q937" t="s">
        <v>74</v>
      </c>
      <c r="R937" t="s">
        <v>74</v>
      </c>
      <c r="S937" t="s">
        <v>74</v>
      </c>
      <c r="T937" t="s">
        <v>74</v>
      </c>
      <c r="U937" t="s">
        <v>74</v>
      </c>
      <c r="V937" t="s">
        <v>12405</v>
      </c>
      <c r="W937" t="s">
        <v>12406</v>
      </c>
      <c r="X937" t="s">
        <v>12407</v>
      </c>
      <c r="Y937" t="s">
        <v>12408</v>
      </c>
      <c r="Z937" t="s">
        <v>12409</v>
      </c>
      <c r="AA937" t="s">
        <v>12410</v>
      </c>
      <c r="AB937" t="s">
        <v>12411</v>
      </c>
      <c r="AC937" t="s">
        <v>74</v>
      </c>
      <c r="AD937" t="s">
        <v>74</v>
      </c>
      <c r="AE937" t="s">
        <v>74</v>
      </c>
      <c r="AF937" t="s">
        <v>74</v>
      </c>
      <c r="AG937">
        <v>0</v>
      </c>
      <c r="AH937">
        <v>0</v>
      </c>
      <c r="AI937">
        <v>0</v>
      </c>
      <c r="AJ937">
        <v>0</v>
      </c>
      <c r="AK937">
        <v>2</v>
      </c>
      <c r="AL937" t="s">
        <v>4682</v>
      </c>
      <c r="AM937" t="s">
        <v>3008</v>
      </c>
      <c r="AN937" t="s">
        <v>4683</v>
      </c>
      <c r="AO937" t="s">
        <v>12412</v>
      </c>
      <c r="AP937" t="s">
        <v>12413</v>
      </c>
      <c r="AQ937" t="s">
        <v>74</v>
      </c>
      <c r="AR937" t="s">
        <v>12414</v>
      </c>
      <c r="AS937" t="s">
        <v>12415</v>
      </c>
      <c r="AT937" t="s">
        <v>11917</v>
      </c>
      <c r="AU937">
        <v>2008</v>
      </c>
      <c r="AV937">
        <v>49</v>
      </c>
      <c r="AW937">
        <v>1</v>
      </c>
      <c r="AX937" t="s">
        <v>74</v>
      </c>
      <c r="AY937" t="s">
        <v>74</v>
      </c>
      <c r="AZ937" t="s">
        <v>74</v>
      </c>
      <c r="BA937" t="s">
        <v>74</v>
      </c>
      <c r="BB937">
        <v>19</v>
      </c>
      <c r="BC937">
        <v>21</v>
      </c>
      <c r="BD937" t="s">
        <v>74</v>
      </c>
      <c r="BE937" t="s">
        <v>74</v>
      </c>
      <c r="BF937" t="s">
        <v>74</v>
      </c>
      <c r="BG937" t="s">
        <v>74</v>
      </c>
      <c r="BH937" t="s">
        <v>74</v>
      </c>
      <c r="BI937">
        <v>3</v>
      </c>
      <c r="BJ937" t="s">
        <v>12416</v>
      </c>
      <c r="BK937" t="s">
        <v>419</v>
      </c>
      <c r="BL937" t="s">
        <v>12416</v>
      </c>
      <c r="BM937" t="s">
        <v>12417</v>
      </c>
      <c r="BN937" t="s">
        <v>74</v>
      </c>
      <c r="BO937" t="s">
        <v>74</v>
      </c>
      <c r="BP937" t="s">
        <v>74</v>
      </c>
      <c r="BQ937" t="s">
        <v>74</v>
      </c>
      <c r="BR937" t="s">
        <v>101</v>
      </c>
      <c r="BS937" t="s">
        <v>12418</v>
      </c>
      <c r="BT937" t="str">
        <f>HYPERLINK("https%3A%2F%2Fwww.webofscience.com%2Fwos%2Fwoscc%2Ffull-record%2FWOS:000253427200015","View Full Record in Web of Science")</f>
        <v>View Full Record in Web of Science</v>
      </c>
    </row>
    <row r="938" spans="1:72" x14ac:dyDescent="0.15">
      <c r="A938" t="s">
        <v>72</v>
      </c>
      <c r="B938" t="s">
        <v>12419</v>
      </c>
      <c r="C938" t="s">
        <v>74</v>
      </c>
      <c r="D938" t="s">
        <v>74</v>
      </c>
      <c r="E938" t="s">
        <v>74</v>
      </c>
      <c r="F938" t="s">
        <v>12420</v>
      </c>
      <c r="G938" t="s">
        <v>74</v>
      </c>
      <c r="H938" t="s">
        <v>74</v>
      </c>
      <c r="I938" t="s">
        <v>12421</v>
      </c>
      <c r="J938" t="s">
        <v>8150</v>
      </c>
      <c r="K938" t="s">
        <v>74</v>
      </c>
      <c r="L938" t="s">
        <v>74</v>
      </c>
      <c r="M938" t="s">
        <v>78</v>
      </c>
      <c r="N938" t="s">
        <v>2737</v>
      </c>
      <c r="O938" t="s">
        <v>74</v>
      </c>
      <c r="P938" t="s">
        <v>74</v>
      </c>
      <c r="Q938" t="s">
        <v>74</v>
      </c>
      <c r="R938" t="s">
        <v>74</v>
      </c>
      <c r="S938" t="s">
        <v>74</v>
      </c>
      <c r="T938" t="s">
        <v>12422</v>
      </c>
      <c r="U938" t="s">
        <v>12423</v>
      </c>
      <c r="V938" t="s">
        <v>12424</v>
      </c>
      <c r="W938" t="s">
        <v>12425</v>
      </c>
      <c r="X938" t="s">
        <v>5380</v>
      </c>
      <c r="Y938" t="s">
        <v>5762</v>
      </c>
      <c r="Z938" t="s">
        <v>5382</v>
      </c>
      <c r="AA938" t="s">
        <v>74</v>
      </c>
      <c r="AB938" t="s">
        <v>74</v>
      </c>
      <c r="AC938" t="s">
        <v>74</v>
      </c>
      <c r="AD938" t="s">
        <v>74</v>
      </c>
      <c r="AE938" t="s">
        <v>74</v>
      </c>
      <c r="AF938" t="s">
        <v>74</v>
      </c>
      <c r="AG938">
        <v>25</v>
      </c>
      <c r="AH938">
        <v>16</v>
      </c>
      <c r="AI938">
        <v>26</v>
      </c>
      <c r="AJ938">
        <v>2</v>
      </c>
      <c r="AK938">
        <v>14</v>
      </c>
      <c r="AL938" t="s">
        <v>3007</v>
      </c>
      <c r="AM938" t="s">
        <v>3008</v>
      </c>
      <c r="AN938" t="s">
        <v>3009</v>
      </c>
      <c r="AO938" t="s">
        <v>8155</v>
      </c>
      <c r="AP938" t="s">
        <v>8174</v>
      </c>
      <c r="AQ938" t="s">
        <v>74</v>
      </c>
      <c r="AR938" t="s">
        <v>8156</v>
      </c>
      <c r="AS938" t="s">
        <v>8157</v>
      </c>
      <c r="AT938" t="s">
        <v>11917</v>
      </c>
      <c r="AU938">
        <v>2008</v>
      </c>
      <c r="AV938">
        <v>42</v>
      </c>
      <c r="AW938">
        <v>6</v>
      </c>
      <c r="AX938" t="s">
        <v>74</v>
      </c>
      <c r="AY938" t="s">
        <v>74</v>
      </c>
      <c r="AZ938" t="s">
        <v>74</v>
      </c>
      <c r="BA938" t="s">
        <v>74</v>
      </c>
      <c r="BB938">
        <v>1197</v>
      </c>
      <c r="BC938">
        <v>1205</v>
      </c>
      <c r="BD938" t="s">
        <v>74</v>
      </c>
      <c r="BE938" t="s">
        <v>12426</v>
      </c>
      <c r="BF938" t="str">
        <f>HYPERLINK("http://dx.doi.org/10.1016/j.atmosenv.2007.10.035","http://dx.doi.org/10.1016/j.atmosenv.2007.10.035")</f>
        <v>http://dx.doi.org/10.1016/j.atmosenv.2007.10.035</v>
      </c>
      <c r="BG938" t="s">
        <v>74</v>
      </c>
      <c r="BH938" t="s">
        <v>74</v>
      </c>
      <c r="BI938">
        <v>9</v>
      </c>
      <c r="BJ938" t="s">
        <v>4455</v>
      </c>
      <c r="BK938" t="s">
        <v>419</v>
      </c>
      <c r="BL938" t="s">
        <v>4456</v>
      </c>
      <c r="BM938" t="s">
        <v>12427</v>
      </c>
      <c r="BN938" t="s">
        <v>74</v>
      </c>
      <c r="BO938" t="s">
        <v>74</v>
      </c>
      <c r="BP938" t="s">
        <v>74</v>
      </c>
      <c r="BQ938" t="s">
        <v>74</v>
      </c>
      <c r="BR938" t="s">
        <v>101</v>
      </c>
      <c r="BS938" t="s">
        <v>12428</v>
      </c>
      <c r="BT938" t="str">
        <f>HYPERLINK("https%3A%2F%2Fwww.webofscience.com%2Fwos%2Fwoscc%2Ffull-record%2FWOS:000254219800011","View Full Record in Web of Science")</f>
        <v>View Full Record in Web of Science</v>
      </c>
    </row>
    <row r="939" spans="1:72" x14ac:dyDescent="0.15">
      <c r="A939" t="s">
        <v>72</v>
      </c>
      <c r="B939" t="s">
        <v>12429</v>
      </c>
      <c r="C939" t="s">
        <v>74</v>
      </c>
      <c r="D939" t="s">
        <v>74</v>
      </c>
      <c r="E939" t="s">
        <v>74</v>
      </c>
      <c r="F939" t="s">
        <v>12430</v>
      </c>
      <c r="G939" t="s">
        <v>74</v>
      </c>
      <c r="H939" t="s">
        <v>74</v>
      </c>
      <c r="I939" t="s">
        <v>12431</v>
      </c>
      <c r="J939" t="s">
        <v>12432</v>
      </c>
      <c r="K939" t="s">
        <v>74</v>
      </c>
      <c r="L939" t="s">
        <v>74</v>
      </c>
      <c r="M939" t="s">
        <v>78</v>
      </c>
      <c r="N939" t="s">
        <v>2958</v>
      </c>
      <c r="O939" t="s">
        <v>74</v>
      </c>
      <c r="P939" t="s">
        <v>74</v>
      </c>
      <c r="Q939" t="s">
        <v>74</v>
      </c>
      <c r="R939" t="s">
        <v>74</v>
      </c>
      <c r="S939" t="s">
        <v>74</v>
      </c>
      <c r="T939" t="s">
        <v>12433</v>
      </c>
      <c r="U939" t="s">
        <v>12434</v>
      </c>
      <c r="V939" t="s">
        <v>12435</v>
      </c>
      <c r="W939" t="s">
        <v>12436</v>
      </c>
      <c r="X939" t="s">
        <v>12437</v>
      </c>
      <c r="Y939" t="s">
        <v>12438</v>
      </c>
      <c r="Z939" t="s">
        <v>12439</v>
      </c>
      <c r="AA939" t="s">
        <v>12440</v>
      </c>
      <c r="AB939" t="s">
        <v>12441</v>
      </c>
      <c r="AC939" t="s">
        <v>74</v>
      </c>
      <c r="AD939" t="s">
        <v>74</v>
      </c>
      <c r="AE939" t="s">
        <v>74</v>
      </c>
      <c r="AF939" t="s">
        <v>74</v>
      </c>
      <c r="AG939">
        <v>114</v>
      </c>
      <c r="AH939">
        <v>104</v>
      </c>
      <c r="AI939">
        <v>119</v>
      </c>
      <c r="AJ939">
        <v>2</v>
      </c>
      <c r="AK939">
        <v>68</v>
      </c>
      <c r="AL939" t="s">
        <v>2746</v>
      </c>
      <c r="AM939" t="s">
        <v>2793</v>
      </c>
      <c r="AN939" t="s">
        <v>2794</v>
      </c>
      <c r="AO939" t="s">
        <v>12442</v>
      </c>
      <c r="AP939" t="s">
        <v>12443</v>
      </c>
      <c r="AQ939" t="s">
        <v>74</v>
      </c>
      <c r="AR939" t="s">
        <v>12444</v>
      </c>
      <c r="AS939" t="s">
        <v>12445</v>
      </c>
      <c r="AT939" t="s">
        <v>11917</v>
      </c>
      <c r="AU939">
        <v>2008</v>
      </c>
      <c r="AV939">
        <v>17</v>
      </c>
      <c r="AW939">
        <v>2</v>
      </c>
      <c r="AX939" t="s">
        <v>74</v>
      </c>
      <c r="AY939" t="s">
        <v>74</v>
      </c>
      <c r="AZ939" t="s">
        <v>74</v>
      </c>
      <c r="BA939" t="s">
        <v>74</v>
      </c>
      <c r="BB939">
        <v>329</v>
      </c>
      <c r="BC939">
        <v>343</v>
      </c>
      <c r="BD939" t="s">
        <v>74</v>
      </c>
      <c r="BE939" t="s">
        <v>12446</v>
      </c>
      <c r="BF939" t="str">
        <f>HYPERLINK("http://dx.doi.org/10.1007/s10531-007-9260-9","http://dx.doi.org/10.1007/s10531-007-9260-9")</f>
        <v>http://dx.doi.org/10.1007/s10531-007-9260-9</v>
      </c>
      <c r="BG939" t="s">
        <v>74</v>
      </c>
      <c r="BH939" t="s">
        <v>74</v>
      </c>
      <c r="BI939">
        <v>15</v>
      </c>
      <c r="BJ939" t="s">
        <v>6213</v>
      </c>
      <c r="BK939" t="s">
        <v>419</v>
      </c>
      <c r="BL939" t="s">
        <v>2896</v>
      </c>
      <c r="BM939" t="s">
        <v>12447</v>
      </c>
      <c r="BN939" t="s">
        <v>74</v>
      </c>
      <c r="BO939" t="s">
        <v>74</v>
      </c>
      <c r="BP939" t="s">
        <v>74</v>
      </c>
      <c r="BQ939" t="s">
        <v>74</v>
      </c>
      <c r="BR939" t="s">
        <v>101</v>
      </c>
      <c r="BS939" t="s">
        <v>12448</v>
      </c>
      <c r="BT939" t="str">
        <f>HYPERLINK("https%3A%2F%2Fwww.webofscience.com%2Fwos%2Fwoscc%2Ffull-record%2FWOS:000252689400008","View Full Record in Web of Science")</f>
        <v>View Full Record in Web of Science</v>
      </c>
    </row>
    <row r="940" spans="1:72" x14ac:dyDescent="0.15">
      <c r="A940" t="s">
        <v>72</v>
      </c>
      <c r="B940" t="s">
        <v>12449</v>
      </c>
      <c r="C940" t="s">
        <v>74</v>
      </c>
      <c r="D940" t="s">
        <v>74</v>
      </c>
      <c r="E940" t="s">
        <v>74</v>
      </c>
      <c r="F940" t="s">
        <v>12450</v>
      </c>
      <c r="G940" t="s">
        <v>74</v>
      </c>
      <c r="H940" t="s">
        <v>74</v>
      </c>
      <c r="I940" t="s">
        <v>12451</v>
      </c>
      <c r="J940" t="s">
        <v>12452</v>
      </c>
      <c r="K940" t="s">
        <v>74</v>
      </c>
      <c r="L940" t="s">
        <v>74</v>
      </c>
      <c r="M940" t="s">
        <v>78</v>
      </c>
      <c r="N940" t="s">
        <v>2737</v>
      </c>
      <c r="O940" t="s">
        <v>74</v>
      </c>
      <c r="P940" t="s">
        <v>74</v>
      </c>
      <c r="Q940" t="s">
        <v>74</v>
      </c>
      <c r="R940" t="s">
        <v>74</v>
      </c>
      <c r="S940" t="s">
        <v>74</v>
      </c>
      <c r="T940" t="s">
        <v>12453</v>
      </c>
      <c r="U940" t="s">
        <v>12454</v>
      </c>
      <c r="V940" t="s">
        <v>12455</v>
      </c>
      <c r="W940" t="s">
        <v>12456</v>
      </c>
      <c r="X940" t="s">
        <v>12457</v>
      </c>
      <c r="Y940" t="s">
        <v>11941</v>
      </c>
      <c r="Z940" t="s">
        <v>11942</v>
      </c>
      <c r="AA940" t="s">
        <v>12458</v>
      </c>
      <c r="AB940" t="s">
        <v>12459</v>
      </c>
      <c r="AC940" t="s">
        <v>12460</v>
      </c>
      <c r="AD940" t="s">
        <v>12461</v>
      </c>
      <c r="AE940" t="s">
        <v>12462</v>
      </c>
      <c r="AF940" t="s">
        <v>74</v>
      </c>
      <c r="AG940">
        <v>63</v>
      </c>
      <c r="AH940">
        <v>52</v>
      </c>
      <c r="AI940">
        <v>59</v>
      </c>
      <c r="AJ940">
        <v>0</v>
      </c>
      <c r="AK940">
        <v>16</v>
      </c>
      <c r="AL940" t="s">
        <v>12463</v>
      </c>
      <c r="AM940" t="s">
        <v>7047</v>
      </c>
      <c r="AN940" t="s">
        <v>12464</v>
      </c>
      <c r="AO940" t="s">
        <v>12465</v>
      </c>
      <c r="AP940" t="s">
        <v>12466</v>
      </c>
      <c r="AQ940" t="s">
        <v>74</v>
      </c>
      <c r="AR940" t="s">
        <v>12467</v>
      </c>
      <c r="AS940" t="s">
        <v>12468</v>
      </c>
      <c r="AT940" t="s">
        <v>11917</v>
      </c>
      <c r="AU940">
        <v>2008</v>
      </c>
      <c r="AV940">
        <v>51</v>
      </c>
      <c r="AW940">
        <v>1</v>
      </c>
      <c r="AX940" t="s">
        <v>74</v>
      </c>
      <c r="AY940" t="s">
        <v>74</v>
      </c>
      <c r="AZ940" t="s">
        <v>74</v>
      </c>
      <c r="BA940" t="s">
        <v>74</v>
      </c>
      <c r="BB940">
        <v>51</v>
      </c>
      <c r="BC940">
        <v>68</v>
      </c>
      <c r="BD940" t="s">
        <v>74</v>
      </c>
      <c r="BE940" t="s">
        <v>12469</v>
      </c>
      <c r="BF940" t="str">
        <f>HYPERLINK("http://dx.doi.org/10.1515/BOT.2008.007","http://dx.doi.org/10.1515/BOT.2008.007")</f>
        <v>http://dx.doi.org/10.1515/BOT.2008.007</v>
      </c>
      <c r="BG940" t="s">
        <v>74</v>
      </c>
      <c r="BH940" t="s">
        <v>74</v>
      </c>
      <c r="BI940">
        <v>18</v>
      </c>
      <c r="BJ940" t="s">
        <v>2822</v>
      </c>
      <c r="BK940" t="s">
        <v>419</v>
      </c>
      <c r="BL940" t="s">
        <v>2822</v>
      </c>
      <c r="BM940" t="s">
        <v>12470</v>
      </c>
      <c r="BN940" t="s">
        <v>74</v>
      </c>
      <c r="BO940" t="s">
        <v>74</v>
      </c>
      <c r="BP940" t="s">
        <v>74</v>
      </c>
      <c r="BQ940" t="s">
        <v>74</v>
      </c>
      <c r="BR940" t="s">
        <v>101</v>
      </c>
      <c r="BS940" t="s">
        <v>12471</v>
      </c>
      <c r="BT940" t="str">
        <f>HYPERLINK("https%3A%2F%2Fwww.webofscience.com%2Fwos%2Fwoscc%2Ffull-record%2FWOS:000259002000006","View Full Record in Web of Science")</f>
        <v>View Full Record in Web of Science</v>
      </c>
    </row>
    <row r="941" spans="1:72" x14ac:dyDescent="0.15">
      <c r="A941" t="s">
        <v>72</v>
      </c>
      <c r="B941" t="s">
        <v>12472</v>
      </c>
      <c r="C941" t="s">
        <v>74</v>
      </c>
      <c r="D941" t="s">
        <v>74</v>
      </c>
      <c r="E941" t="s">
        <v>74</v>
      </c>
      <c r="F941" t="s">
        <v>12473</v>
      </c>
      <c r="G941" t="s">
        <v>74</v>
      </c>
      <c r="H941" t="s">
        <v>74</v>
      </c>
      <c r="I941" t="s">
        <v>12474</v>
      </c>
      <c r="J941" t="s">
        <v>12475</v>
      </c>
      <c r="K941" t="s">
        <v>74</v>
      </c>
      <c r="L941" t="s">
        <v>74</v>
      </c>
      <c r="M941" t="s">
        <v>78</v>
      </c>
      <c r="N941" t="s">
        <v>2737</v>
      </c>
      <c r="O941" t="s">
        <v>74</v>
      </c>
      <c r="P941" t="s">
        <v>74</v>
      </c>
      <c r="Q941" t="s">
        <v>74</v>
      </c>
      <c r="R941" t="s">
        <v>74</v>
      </c>
      <c r="S941" t="s">
        <v>74</v>
      </c>
      <c r="T941" t="s">
        <v>74</v>
      </c>
      <c r="U941" t="s">
        <v>12476</v>
      </c>
      <c r="V941" t="s">
        <v>12477</v>
      </c>
      <c r="W941" t="s">
        <v>12478</v>
      </c>
      <c r="X941" t="s">
        <v>12479</v>
      </c>
      <c r="Y941" t="s">
        <v>12480</v>
      </c>
      <c r="Z941" t="s">
        <v>12481</v>
      </c>
      <c r="AA941" t="s">
        <v>12482</v>
      </c>
      <c r="AB941" t="s">
        <v>12483</v>
      </c>
      <c r="AC941" t="s">
        <v>74</v>
      </c>
      <c r="AD941" t="s">
        <v>74</v>
      </c>
      <c r="AE941" t="s">
        <v>74</v>
      </c>
      <c r="AF941" t="s">
        <v>74</v>
      </c>
      <c r="AG941">
        <v>57</v>
      </c>
      <c r="AH941">
        <v>33</v>
      </c>
      <c r="AI941">
        <v>38</v>
      </c>
      <c r="AJ941">
        <v>1</v>
      </c>
      <c r="AK941">
        <v>14</v>
      </c>
      <c r="AL941" t="s">
        <v>12484</v>
      </c>
      <c r="AM941" t="s">
        <v>10069</v>
      </c>
      <c r="AN941" t="s">
        <v>12485</v>
      </c>
      <c r="AO941" t="s">
        <v>12486</v>
      </c>
      <c r="AP941" t="s">
        <v>12487</v>
      </c>
      <c r="AQ941" t="s">
        <v>74</v>
      </c>
      <c r="AR941" t="s">
        <v>12488</v>
      </c>
      <c r="AS941" t="s">
        <v>12489</v>
      </c>
      <c r="AT941" t="s">
        <v>11917</v>
      </c>
      <c r="AU941">
        <v>2008</v>
      </c>
      <c r="AV941">
        <v>65</v>
      </c>
      <c r="AW941">
        <v>2</v>
      </c>
      <c r="AX941" t="s">
        <v>74</v>
      </c>
      <c r="AY941" t="s">
        <v>74</v>
      </c>
      <c r="AZ941" t="s">
        <v>74</v>
      </c>
      <c r="BA941" t="s">
        <v>74</v>
      </c>
      <c r="BB941">
        <v>135</v>
      </c>
      <c r="BC941">
        <v>146</v>
      </c>
      <c r="BD941" t="s">
        <v>74</v>
      </c>
      <c r="BE941" t="s">
        <v>12490</v>
      </c>
      <c r="BF941" t="str">
        <f>HYPERLINK("http://dx.doi.org/10.1139/F07-158","http://dx.doi.org/10.1139/F07-158")</f>
        <v>http://dx.doi.org/10.1139/F07-158</v>
      </c>
      <c r="BG941" t="s">
        <v>74</v>
      </c>
      <c r="BH941" t="s">
        <v>74</v>
      </c>
      <c r="BI941">
        <v>12</v>
      </c>
      <c r="BJ941" t="s">
        <v>10815</v>
      </c>
      <c r="BK941" t="s">
        <v>419</v>
      </c>
      <c r="BL941" t="s">
        <v>10815</v>
      </c>
      <c r="BM941" t="s">
        <v>12491</v>
      </c>
      <c r="BN941" t="s">
        <v>74</v>
      </c>
      <c r="BO941" t="s">
        <v>3311</v>
      </c>
      <c r="BP941" t="s">
        <v>74</v>
      </c>
      <c r="BQ941" t="s">
        <v>74</v>
      </c>
      <c r="BR941" t="s">
        <v>101</v>
      </c>
      <c r="BS941" t="s">
        <v>12492</v>
      </c>
      <c r="BT941" t="str">
        <f>HYPERLINK("https%3A%2F%2Fwww.webofscience.com%2Fwos%2Fwoscc%2Ffull-record%2FWOS:000253546100001","View Full Record in Web of Science")</f>
        <v>View Full Record in Web of Science</v>
      </c>
    </row>
    <row r="942" spans="1:72" x14ac:dyDescent="0.15">
      <c r="A942" t="s">
        <v>72</v>
      </c>
      <c r="B942" t="s">
        <v>12493</v>
      </c>
      <c r="C942" t="s">
        <v>74</v>
      </c>
      <c r="D942" t="s">
        <v>74</v>
      </c>
      <c r="E942" t="s">
        <v>74</v>
      </c>
      <c r="F942" t="s">
        <v>12494</v>
      </c>
      <c r="G942" t="s">
        <v>74</v>
      </c>
      <c r="H942" t="s">
        <v>74</v>
      </c>
      <c r="I942" t="s">
        <v>12495</v>
      </c>
      <c r="J942" t="s">
        <v>4393</v>
      </c>
      <c r="K942" t="s">
        <v>74</v>
      </c>
      <c r="L942" t="s">
        <v>74</v>
      </c>
      <c r="M942" t="s">
        <v>78</v>
      </c>
      <c r="N942" t="s">
        <v>2737</v>
      </c>
      <c r="O942" t="s">
        <v>74</v>
      </c>
      <c r="P942" t="s">
        <v>74</v>
      </c>
      <c r="Q942" t="s">
        <v>74</v>
      </c>
      <c r="R942" t="s">
        <v>74</v>
      </c>
      <c r="S942" t="s">
        <v>74</v>
      </c>
      <c r="T942" t="s">
        <v>12496</v>
      </c>
      <c r="U942" t="s">
        <v>12497</v>
      </c>
      <c r="V942" t="s">
        <v>12498</v>
      </c>
      <c r="W942" t="s">
        <v>12499</v>
      </c>
      <c r="X942" t="s">
        <v>12500</v>
      </c>
      <c r="Y942" t="s">
        <v>12501</v>
      </c>
      <c r="Z942" t="s">
        <v>12502</v>
      </c>
      <c r="AA942" t="s">
        <v>12503</v>
      </c>
      <c r="AB942" t="s">
        <v>74</v>
      </c>
      <c r="AC942" t="s">
        <v>74</v>
      </c>
      <c r="AD942" t="s">
        <v>74</v>
      </c>
      <c r="AE942" t="s">
        <v>74</v>
      </c>
      <c r="AF942" t="s">
        <v>74</v>
      </c>
      <c r="AG942">
        <v>34</v>
      </c>
      <c r="AH942">
        <v>123</v>
      </c>
      <c r="AI942">
        <v>146</v>
      </c>
      <c r="AJ942">
        <v>8</v>
      </c>
      <c r="AK942">
        <v>63</v>
      </c>
      <c r="AL942" t="s">
        <v>3086</v>
      </c>
      <c r="AM942" t="s">
        <v>3087</v>
      </c>
      <c r="AN942" t="s">
        <v>3088</v>
      </c>
      <c r="AO942" t="s">
        <v>4401</v>
      </c>
      <c r="AP942" t="s">
        <v>12504</v>
      </c>
      <c r="AQ942" t="s">
        <v>74</v>
      </c>
      <c r="AR942" t="s">
        <v>4402</v>
      </c>
      <c r="AS942" t="s">
        <v>4403</v>
      </c>
      <c r="AT942" t="s">
        <v>11917</v>
      </c>
      <c r="AU942">
        <v>2008</v>
      </c>
      <c r="AV942">
        <v>53</v>
      </c>
      <c r="AW942">
        <v>4</v>
      </c>
      <c r="AX942" t="s">
        <v>74</v>
      </c>
      <c r="AY942" t="s">
        <v>74</v>
      </c>
      <c r="AZ942" t="s">
        <v>74</v>
      </c>
      <c r="BA942" t="s">
        <v>74</v>
      </c>
      <c r="BB942">
        <v>602</v>
      </c>
      <c r="BC942">
        <v>609</v>
      </c>
      <c r="BD942" t="s">
        <v>74</v>
      </c>
      <c r="BE942" t="s">
        <v>12505</v>
      </c>
      <c r="BF942" t="str">
        <f>HYPERLINK("http://dx.doi.org/10.1007/s11434-008-0083-1","http://dx.doi.org/10.1007/s11434-008-0083-1")</f>
        <v>http://dx.doi.org/10.1007/s11434-008-0083-1</v>
      </c>
      <c r="BG942" t="s">
        <v>74</v>
      </c>
      <c r="BH942" t="s">
        <v>74</v>
      </c>
      <c r="BI942">
        <v>8</v>
      </c>
      <c r="BJ942" t="s">
        <v>3123</v>
      </c>
      <c r="BK942" t="s">
        <v>419</v>
      </c>
      <c r="BL942" t="s">
        <v>3124</v>
      </c>
      <c r="BM942" t="s">
        <v>12506</v>
      </c>
      <c r="BN942" t="s">
        <v>74</v>
      </c>
      <c r="BO942" t="s">
        <v>74</v>
      </c>
      <c r="BP942" t="s">
        <v>74</v>
      </c>
      <c r="BQ942" t="s">
        <v>74</v>
      </c>
      <c r="BR942" t="s">
        <v>101</v>
      </c>
      <c r="BS942" t="s">
        <v>12507</v>
      </c>
      <c r="BT942" t="str">
        <f>HYPERLINK("https%3A%2F%2Fwww.webofscience.com%2Fwos%2Fwoscc%2Ffull-record%2FWOS:000252974500017","View Full Record in Web of Science")</f>
        <v>View Full Record in Web of Science</v>
      </c>
    </row>
    <row r="943" spans="1:72" x14ac:dyDescent="0.15">
      <c r="A943" t="s">
        <v>72</v>
      </c>
      <c r="B943" t="s">
        <v>12508</v>
      </c>
      <c r="C943" t="s">
        <v>74</v>
      </c>
      <c r="D943" t="s">
        <v>74</v>
      </c>
      <c r="E943" t="s">
        <v>74</v>
      </c>
      <c r="F943" t="s">
        <v>12509</v>
      </c>
      <c r="G943" t="s">
        <v>74</v>
      </c>
      <c r="H943" t="s">
        <v>74</v>
      </c>
      <c r="I943" t="s">
        <v>12510</v>
      </c>
      <c r="J943" t="s">
        <v>12511</v>
      </c>
      <c r="K943" t="s">
        <v>74</v>
      </c>
      <c r="L943" t="s">
        <v>74</v>
      </c>
      <c r="M943" t="s">
        <v>78</v>
      </c>
      <c r="N943" t="s">
        <v>2737</v>
      </c>
      <c r="O943" t="s">
        <v>74</v>
      </c>
      <c r="P943" t="s">
        <v>74</v>
      </c>
      <c r="Q943" t="s">
        <v>74</v>
      </c>
      <c r="R943" t="s">
        <v>74</v>
      </c>
      <c r="S943" t="s">
        <v>74</v>
      </c>
      <c r="T943" t="s">
        <v>12512</v>
      </c>
      <c r="U943" t="s">
        <v>12513</v>
      </c>
      <c r="V943" t="s">
        <v>12514</v>
      </c>
      <c r="W943" t="s">
        <v>12515</v>
      </c>
      <c r="X943" t="s">
        <v>12516</v>
      </c>
      <c r="Y943" t="s">
        <v>12517</v>
      </c>
      <c r="Z943" t="s">
        <v>12518</v>
      </c>
      <c r="AA943" t="s">
        <v>74</v>
      </c>
      <c r="AB943" t="s">
        <v>74</v>
      </c>
      <c r="AC943" t="s">
        <v>74</v>
      </c>
      <c r="AD943" t="s">
        <v>74</v>
      </c>
      <c r="AE943" t="s">
        <v>74</v>
      </c>
      <c r="AF943" t="s">
        <v>74</v>
      </c>
      <c r="AG943">
        <v>12</v>
      </c>
      <c r="AH943">
        <v>4</v>
      </c>
      <c r="AI943">
        <v>4</v>
      </c>
      <c r="AJ943">
        <v>0</v>
      </c>
      <c r="AK943">
        <v>11</v>
      </c>
      <c r="AL943" t="s">
        <v>12519</v>
      </c>
      <c r="AM943" t="s">
        <v>12520</v>
      </c>
      <c r="AN943" t="s">
        <v>12521</v>
      </c>
      <c r="AO943" t="s">
        <v>12522</v>
      </c>
      <c r="AP943" t="s">
        <v>74</v>
      </c>
      <c r="AQ943" t="s">
        <v>74</v>
      </c>
      <c r="AR943" t="s">
        <v>12511</v>
      </c>
      <c r="AS943" t="s">
        <v>12523</v>
      </c>
      <c r="AT943" t="s">
        <v>11917</v>
      </c>
      <c r="AU943">
        <v>2008</v>
      </c>
      <c r="AV943">
        <v>67</v>
      </c>
      <c r="AW943" t="s">
        <v>3263</v>
      </c>
      <c r="AX943" t="s">
        <v>74</v>
      </c>
      <c r="AY943" t="s">
        <v>74</v>
      </c>
      <c r="AZ943" t="s">
        <v>74</v>
      </c>
      <c r="BA943" t="s">
        <v>74</v>
      </c>
      <c r="BB943">
        <v>305</v>
      </c>
      <c r="BC943">
        <v>308</v>
      </c>
      <c r="BD943" t="s">
        <v>74</v>
      </c>
      <c r="BE943" t="s">
        <v>12524</v>
      </c>
      <c r="BF943" t="str">
        <f>HYPERLINK("http://dx.doi.org/10.1365/s10337-007-0494-1","http://dx.doi.org/10.1365/s10337-007-0494-1")</f>
        <v>http://dx.doi.org/10.1365/s10337-007-0494-1</v>
      </c>
      <c r="BG943" t="s">
        <v>74</v>
      </c>
      <c r="BH943" t="s">
        <v>74</v>
      </c>
      <c r="BI943">
        <v>4</v>
      </c>
      <c r="BJ943" t="s">
        <v>4615</v>
      </c>
      <c r="BK943" t="s">
        <v>419</v>
      </c>
      <c r="BL943" t="s">
        <v>4616</v>
      </c>
      <c r="BM943" t="s">
        <v>12525</v>
      </c>
      <c r="BN943" t="s">
        <v>74</v>
      </c>
      <c r="BO943" t="s">
        <v>74</v>
      </c>
      <c r="BP943" t="s">
        <v>74</v>
      </c>
      <c r="BQ943" t="s">
        <v>74</v>
      </c>
      <c r="BR943" t="s">
        <v>101</v>
      </c>
      <c r="BS943" t="s">
        <v>12526</v>
      </c>
      <c r="BT943" t="str">
        <f>HYPERLINK("https%3A%2F%2Fwww.webofscience.com%2Fwos%2Fwoscc%2Ffull-record%2FWOS:000252806200016","View Full Record in Web of Science")</f>
        <v>View Full Record in Web of Science</v>
      </c>
    </row>
    <row r="944" spans="1:72" x14ac:dyDescent="0.15">
      <c r="A944" t="s">
        <v>72</v>
      </c>
      <c r="B944" t="s">
        <v>9029</v>
      </c>
      <c r="C944" t="s">
        <v>74</v>
      </c>
      <c r="D944" t="s">
        <v>74</v>
      </c>
      <c r="E944" t="s">
        <v>74</v>
      </c>
      <c r="F944" t="s">
        <v>9030</v>
      </c>
      <c r="G944" t="s">
        <v>74</v>
      </c>
      <c r="H944" t="s">
        <v>74</v>
      </c>
      <c r="I944" t="s">
        <v>12527</v>
      </c>
      <c r="J944" t="s">
        <v>4444</v>
      </c>
      <c r="K944" t="s">
        <v>74</v>
      </c>
      <c r="L944" t="s">
        <v>74</v>
      </c>
      <c r="M944" t="s">
        <v>78</v>
      </c>
      <c r="N944" t="s">
        <v>2958</v>
      </c>
      <c r="O944" t="s">
        <v>74</v>
      </c>
      <c r="P944" t="s">
        <v>74</v>
      </c>
      <c r="Q944" t="s">
        <v>74</v>
      </c>
      <c r="R944" t="s">
        <v>74</v>
      </c>
      <c r="S944" t="s">
        <v>74</v>
      </c>
      <c r="T944" t="s">
        <v>74</v>
      </c>
      <c r="U944" t="s">
        <v>12528</v>
      </c>
      <c r="V944" t="s">
        <v>12529</v>
      </c>
      <c r="W944" t="s">
        <v>9036</v>
      </c>
      <c r="X944" t="s">
        <v>2962</v>
      </c>
      <c r="Y944" t="s">
        <v>12530</v>
      </c>
      <c r="Z944" t="s">
        <v>12531</v>
      </c>
      <c r="AA944" t="s">
        <v>9039</v>
      </c>
      <c r="AB944" t="s">
        <v>9040</v>
      </c>
      <c r="AC944" t="s">
        <v>74</v>
      </c>
      <c r="AD944" t="s">
        <v>74</v>
      </c>
      <c r="AE944" t="s">
        <v>74</v>
      </c>
      <c r="AF944" t="s">
        <v>74</v>
      </c>
      <c r="AG944">
        <v>131</v>
      </c>
      <c r="AH944">
        <v>84</v>
      </c>
      <c r="AI944">
        <v>90</v>
      </c>
      <c r="AJ944">
        <v>0</v>
      </c>
      <c r="AK944">
        <v>45</v>
      </c>
      <c r="AL944" t="s">
        <v>2746</v>
      </c>
      <c r="AM944" t="s">
        <v>2793</v>
      </c>
      <c r="AN944" t="s">
        <v>2794</v>
      </c>
      <c r="AO944" t="s">
        <v>4452</v>
      </c>
      <c r="AP944" t="s">
        <v>12532</v>
      </c>
      <c r="AQ944" t="s">
        <v>74</v>
      </c>
      <c r="AR944" t="s">
        <v>4444</v>
      </c>
      <c r="AS944" t="s">
        <v>4453</v>
      </c>
      <c r="AT944" t="s">
        <v>11917</v>
      </c>
      <c r="AU944">
        <v>2008</v>
      </c>
      <c r="AV944">
        <v>86</v>
      </c>
      <c r="AW944" t="s">
        <v>3263</v>
      </c>
      <c r="AX944" t="s">
        <v>74</v>
      </c>
      <c r="AY944" t="s">
        <v>74</v>
      </c>
      <c r="AZ944" t="s">
        <v>74</v>
      </c>
      <c r="BA944" t="s">
        <v>74</v>
      </c>
      <c r="BB944">
        <v>309</v>
      </c>
      <c r="BC944">
        <v>329</v>
      </c>
      <c r="BD944" t="s">
        <v>74</v>
      </c>
      <c r="BE944" t="s">
        <v>12533</v>
      </c>
      <c r="BF944" t="str">
        <f>HYPERLINK("http://dx.doi.org/10.1007/s10584-007-9259-y","http://dx.doi.org/10.1007/s10584-007-9259-y")</f>
        <v>http://dx.doi.org/10.1007/s10584-007-9259-y</v>
      </c>
      <c r="BG944" t="s">
        <v>74</v>
      </c>
      <c r="BH944" t="s">
        <v>74</v>
      </c>
      <c r="BI944">
        <v>21</v>
      </c>
      <c r="BJ944" t="s">
        <v>4455</v>
      </c>
      <c r="BK944" t="s">
        <v>419</v>
      </c>
      <c r="BL944" t="s">
        <v>4456</v>
      </c>
      <c r="BM944" t="s">
        <v>12534</v>
      </c>
      <c r="BN944" t="s">
        <v>74</v>
      </c>
      <c r="BO944" t="s">
        <v>74</v>
      </c>
      <c r="BP944" t="s">
        <v>74</v>
      </c>
      <c r="BQ944" t="s">
        <v>74</v>
      </c>
      <c r="BR944" t="s">
        <v>101</v>
      </c>
      <c r="BS944" t="s">
        <v>12535</v>
      </c>
      <c r="BT944" t="str">
        <f>HYPERLINK("https%3A%2F%2Fwww.webofscience.com%2Fwos%2Fwoscc%2Ffull-record%2FWOS:000251821600004","View Full Record in Web of Science")</f>
        <v>View Full Record in Web of Science</v>
      </c>
    </row>
    <row r="945" spans="1:72" x14ac:dyDescent="0.15">
      <c r="A945" t="s">
        <v>72</v>
      </c>
      <c r="B945" t="s">
        <v>12536</v>
      </c>
      <c r="C945" t="s">
        <v>74</v>
      </c>
      <c r="D945" t="s">
        <v>74</v>
      </c>
      <c r="E945" t="s">
        <v>74</v>
      </c>
      <c r="F945" t="s">
        <v>12537</v>
      </c>
      <c r="G945" t="s">
        <v>74</v>
      </c>
      <c r="H945" t="s">
        <v>74</v>
      </c>
      <c r="I945" t="s">
        <v>12538</v>
      </c>
      <c r="J945" t="s">
        <v>4444</v>
      </c>
      <c r="K945" t="s">
        <v>74</v>
      </c>
      <c r="L945" t="s">
        <v>74</v>
      </c>
      <c r="M945" t="s">
        <v>78</v>
      </c>
      <c r="N945" t="s">
        <v>2737</v>
      </c>
      <c r="O945" t="s">
        <v>74</v>
      </c>
      <c r="P945" t="s">
        <v>74</v>
      </c>
      <c r="Q945" t="s">
        <v>74</v>
      </c>
      <c r="R945" t="s">
        <v>74</v>
      </c>
      <c r="S945" t="s">
        <v>74</v>
      </c>
      <c r="T945" t="s">
        <v>74</v>
      </c>
      <c r="U945" t="s">
        <v>12539</v>
      </c>
      <c r="V945" t="s">
        <v>12540</v>
      </c>
      <c r="W945" t="s">
        <v>12541</v>
      </c>
      <c r="X945" t="s">
        <v>12542</v>
      </c>
      <c r="Y945" t="s">
        <v>12543</v>
      </c>
      <c r="Z945" t="s">
        <v>12544</v>
      </c>
      <c r="AA945" t="s">
        <v>74</v>
      </c>
      <c r="AB945" t="s">
        <v>12545</v>
      </c>
      <c r="AC945" t="s">
        <v>74</v>
      </c>
      <c r="AD945" t="s">
        <v>74</v>
      </c>
      <c r="AE945" t="s">
        <v>74</v>
      </c>
      <c r="AF945" t="s">
        <v>74</v>
      </c>
      <c r="AG945">
        <v>62</v>
      </c>
      <c r="AH945">
        <v>103</v>
      </c>
      <c r="AI945">
        <v>113</v>
      </c>
      <c r="AJ945">
        <v>0</v>
      </c>
      <c r="AK945">
        <v>33</v>
      </c>
      <c r="AL945" t="s">
        <v>2746</v>
      </c>
      <c r="AM945" t="s">
        <v>2793</v>
      </c>
      <c r="AN945" t="s">
        <v>2794</v>
      </c>
      <c r="AO945" t="s">
        <v>4452</v>
      </c>
      <c r="AP945" t="s">
        <v>12532</v>
      </c>
      <c r="AQ945" t="s">
        <v>74</v>
      </c>
      <c r="AR945" t="s">
        <v>4444</v>
      </c>
      <c r="AS945" t="s">
        <v>4453</v>
      </c>
      <c r="AT945" t="s">
        <v>11917</v>
      </c>
      <c r="AU945">
        <v>2008</v>
      </c>
      <c r="AV945">
        <v>86</v>
      </c>
      <c r="AW945" t="s">
        <v>3263</v>
      </c>
      <c r="AX945" t="s">
        <v>74</v>
      </c>
      <c r="AY945" t="s">
        <v>74</v>
      </c>
      <c r="AZ945" t="s">
        <v>74</v>
      </c>
      <c r="BA945" t="s">
        <v>74</v>
      </c>
      <c r="BB945">
        <v>331</v>
      </c>
      <c r="BC945">
        <v>356</v>
      </c>
      <c r="BD945" t="s">
        <v>74</v>
      </c>
      <c r="BE945" t="s">
        <v>12546</v>
      </c>
      <c r="BF945" t="str">
        <f>HYPERLINK("http://dx.doi.org/10.1007/s10584-007-9287-7","http://dx.doi.org/10.1007/s10584-007-9287-7")</f>
        <v>http://dx.doi.org/10.1007/s10584-007-9287-7</v>
      </c>
      <c r="BG945" t="s">
        <v>74</v>
      </c>
      <c r="BH945" t="s">
        <v>74</v>
      </c>
      <c r="BI945">
        <v>26</v>
      </c>
      <c r="BJ945" t="s">
        <v>4455</v>
      </c>
      <c r="BK945" t="s">
        <v>419</v>
      </c>
      <c r="BL945" t="s">
        <v>4456</v>
      </c>
      <c r="BM945" t="s">
        <v>12534</v>
      </c>
      <c r="BN945" t="s">
        <v>74</v>
      </c>
      <c r="BO945" t="s">
        <v>74</v>
      </c>
      <c r="BP945" t="s">
        <v>74</v>
      </c>
      <c r="BQ945" t="s">
        <v>74</v>
      </c>
      <c r="BR945" t="s">
        <v>101</v>
      </c>
      <c r="BS945" t="s">
        <v>12547</v>
      </c>
      <c r="BT945" t="str">
        <f>HYPERLINK("https%3A%2F%2Fwww.webofscience.com%2Fwos%2Fwoscc%2Ffull-record%2FWOS:000251821600005","View Full Record in Web of Science")</f>
        <v>View Full Record in Web of Science</v>
      </c>
    </row>
    <row r="946" spans="1:72" x14ac:dyDescent="0.15">
      <c r="A946" t="s">
        <v>72</v>
      </c>
      <c r="B946" t="s">
        <v>12548</v>
      </c>
      <c r="C946" t="s">
        <v>74</v>
      </c>
      <c r="D946" t="s">
        <v>74</v>
      </c>
      <c r="E946" t="s">
        <v>74</v>
      </c>
      <c r="F946" t="s">
        <v>12549</v>
      </c>
      <c r="G946" t="s">
        <v>74</v>
      </c>
      <c r="H946" t="s">
        <v>74</v>
      </c>
      <c r="I946" t="s">
        <v>12550</v>
      </c>
      <c r="J946" t="s">
        <v>12551</v>
      </c>
      <c r="K946" t="s">
        <v>74</v>
      </c>
      <c r="L946" t="s">
        <v>74</v>
      </c>
      <c r="M946" t="s">
        <v>78</v>
      </c>
      <c r="N946" t="s">
        <v>2737</v>
      </c>
      <c r="O946" t="s">
        <v>74</v>
      </c>
      <c r="P946" t="s">
        <v>74</v>
      </c>
      <c r="Q946" t="s">
        <v>74</v>
      </c>
      <c r="R946" t="s">
        <v>74</v>
      </c>
      <c r="S946" t="s">
        <v>74</v>
      </c>
      <c r="T946" t="s">
        <v>74</v>
      </c>
      <c r="U946" t="s">
        <v>12552</v>
      </c>
      <c r="V946" t="s">
        <v>12553</v>
      </c>
      <c r="W946" t="s">
        <v>12554</v>
      </c>
      <c r="X946" t="s">
        <v>12555</v>
      </c>
      <c r="Y946" t="s">
        <v>12556</v>
      </c>
      <c r="Z946" t="s">
        <v>12557</v>
      </c>
      <c r="AA946" t="s">
        <v>74</v>
      </c>
      <c r="AB946" t="s">
        <v>74</v>
      </c>
      <c r="AC946" t="s">
        <v>74</v>
      </c>
      <c r="AD946" t="s">
        <v>74</v>
      </c>
      <c r="AE946" t="s">
        <v>74</v>
      </c>
      <c r="AF946" t="s">
        <v>74</v>
      </c>
      <c r="AG946">
        <v>25</v>
      </c>
      <c r="AH946">
        <v>23</v>
      </c>
      <c r="AI946">
        <v>29</v>
      </c>
      <c r="AJ946">
        <v>0</v>
      </c>
      <c r="AK946">
        <v>3</v>
      </c>
      <c r="AL946" t="s">
        <v>2746</v>
      </c>
      <c r="AM946" t="s">
        <v>2747</v>
      </c>
      <c r="AN946" t="s">
        <v>2748</v>
      </c>
      <c r="AO946" t="s">
        <v>12558</v>
      </c>
      <c r="AP946" t="s">
        <v>12559</v>
      </c>
      <c r="AQ946" t="s">
        <v>74</v>
      </c>
      <c r="AR946" t="s">
        <v>12560</v>
      </c>
      <c r="AS946" t="s">
        <v>12561</v>
      </c>
      <c r="AT946" t="s">
        <v>11917</v>
      </c>
      <c r="AU946">
        <v>2008</v>
      </c>
      <c r="AV946">
        <v>56</v>
      </c>
      <c r="AW946">
        <v>2</v>
      </c>
      <c r="AX946" t="s">
        <v>74</v>
      </c>
      <c r="AY946" t="s">
        <v>74</v>
      </c>
      <c r="AZ946" t="s">
        <v>74</v>
      </c>
      <c r="BA946" t="s">
        <v>74</v>
      </c>
      <c r="BB946">
        <v>194</v>
      </c>
      <c r="BC946">
        <v>198</v>
      </c>
      <c r="BD946" t="s">
        <v>74</v>
      </c>
      <c r="BE946" t="s">
        <v>12562</v>
      </c>
      <c r="BF946" t="str">
        <f>HYPERLINK("http://dx.doi.org/10.1007/s00284-007-9051-2","http://dx.doi.org/10.1007/s00284-007-9051-2")</f>
        <v>http://dx.doi.org/10.1007/s00284-007-9051-2</v>
      </c>
      <c r="BG946" t="s">
        <v>74</v>
      </c>
      <c r="BH946" t="s">
        <v>74</v>
      </c>
      <c r="BI946">
        <v>5</v>
      </c>
      <c r="BJ946" t="s">
        <v>4689</v>
      </c>
      <c r="BK946" t="s">
        <v>419</v>
      </c>
      <c r="BL946" t="s">
        <v>4689</v>
      </c>
      <c r="BM946" t="s">
        <v>12563</v>
      </c>
      <c r="BN946">
        <v>17973159</v>
      </c>
      <c r="BO946" t="s">
        <v>74</v>
      </c>
      <c r="BP946" t="s">
        <v>74</v>
      </c>
      <c r="BQ946" t="s">
        <v>74</v>
      </c>
      <c r="BR946" t="s">
        <v>101</v>
      </c>
      <c r="BS946" t="s">
        <v>12564</v>
      </c>
      <c r="BT946" t="str">
        <f>HYPERLINK("https%3A%2F%2Fwww.webofscience.com%2Fwos%2Fwoscc%2Ffull-record%2FWOS:000252252600016","View Full Record in Web of Science")</f>
        <v>View Full Record in Web of Science</v>
      </c>
    </row>
    <row r="947" spans="1:72" x14ac:dyDescent="0.15">
      <c r="A947" t="s">
        <v>72</v>
      </c>
      <c r="B947" t="s">
        <v>12565</v>
      </c>
      <c r="C947" t="s">
        <v>74</v>
      </c>
      <c r="D947" t="s">
        <v>74</v>
      </c>
      <c r="E947" t="s">
        <v>74</v>
      </c>
      <c r="F947" t="s">
        <v>12566</v>
      </c>
      <c r="G947" t="s">
        <v>74</v>
      </c>
      <c r="H947" t="s">
        <v>74</v>
      </c>
      <c r="I947" t="s">
        <v>12567</v>
      </c>
      <c r="J947" t="s">
        <v>12568</v>
      </c>
      <c r="K947" t="s">
        <v>74</v>
      </c>
      <c r="L947" t="s">
        <v>74</v>
      </c>
      <c r="M947" t="s">
        <v>78</v>
      </c>
      <c r="N947" t="s">
        <v>2737</v>
      </c>
      <c r="O947" t="s">
        <v>74</v>
      </c>
      <c r="P947" t="s">
        <v>74</v>
      </c>
      <c r="Q947" t="s">
        <v>74</v>
      </c>
      <c r="R947" t="s">
        <v>74</v>
      </c>
      <c r="S947" t="s">
        <v>74</v>
      </c>
      <c r="T947" t="s">
        <v>12569</v>
      </c>
      <c r="U947" t="s">
        <v>12570</v>
      </c>
      <c r="V947" t="s">
        <v>12571</v>
      </c>
      <c r="W947" t="s">
        <v>12572</v>
      </c>
      <c r="X947" t="s">
        <v>2786</v>
      </c>
      <c r="Y947" t="s">
        <v>12573</v>
      </c>
      <c r="Z947" t="s">
        <v>10138</v>
      </c>
      <c r="AA947" t="s">
        <v>10158</v>
      </c>
      <c r="AB947" t="s">
        <v>12574</v>
      </c>
      <c r="AC947" t="s">
        <v>2791</v>
      </c>
      <c r="AD947" t="s">
        <v>2792</v>
      </c>
      <c r="AE947" t="s">
        <v>74</v>
      </c>
      <c r="AF947" t="s">
        <v>74</v>
      </c>
      <c r="AG947">
        <v>18</v>
      </c>
      <c r="AH947">
        <v>10</v>
      </c>
      <c r="AI947">
        <v>17</v>
      </c>
      <c r="AJ947">
        <v>0</v>
      </c>
      <c r="AK947">
        <v>8</v>
      </c>
      <c r="AL947" t="s">
        <v>12575</v>
      </c>
      <c r="AM947" t="s">
        <v>2747</v>
      </c>
      <c r="AN947" t="s">
        <v>12576</v>
      </c>
      <c r="AO947" t="s">
        <v>12577</v>
      </c>
      <c r="AP947" t="s">
        <v>74</v>
      </c>
      <c r="AQ947" t="s">
        <v>74</v>
      </c>
      <c r="AR947" t="s">
        <v>12568</v>
      </c>
      <c r="AS947" t="s">
        <v>12578</v>
      </c>
      <c r="AT947" t="s">
        <v>11917</v>
      </c>
      <c r="AU947">
        <v>2008</v>
      </c>
      <c r="AV947">
        <v>19</v>
      </c>
      <c r="AW947">
        <v>1</v>
      </c>
      <c r="AX947" t="s">
        <v>74</v>
      </c>
      <c r="AY947" t="s">
        <v>74</v>
      </c>
      <c r="AZ947" t="s">
        <v>74</v>
      </c>
      <c r="BA947" t="s">
        <v>74</v>
      </c>
      <c r="BB947">
        <v>50</v>
      </c>
      <c r="BC947">
        <v>55</v>
      </c>
      <c r="BD947" t="s">
        <v>74</v>
      </c>
      <c r="BE947" t="s">
        <v>12579</v>
      </c>
      <c r="BF947" t="str">
        <f>HYPERLINK("http://dx.doi.org/10.1080/10425170701388586","http://dx.doi.org/10.1080/10425170701388586")</f>
        <v>http://dx.doi.org/10.1080/10425170701388586</v>
      </c>
      <c r="BG947" t="s">
        <v>74</v>
      </c>
      <c r="BH947" t="s">
        <v>74</v>
      </c>
      <c r="BI947">
        <v>6</v>
      </c>
      <c r="BJ947" t="s">
        <v>12580</v>
      </c>
      <c r="BK947" t="s">
        <v>419</v>
      </c>
      <c r="BL947" t="s">
        <v>12580</v>
      </c>
      <c r="BM947" t="s">
        <v>12581</v>
      </c>
      <c r="BN947">
        <v>17852333</v>
      </c>
      <c r="BO947" t="s">
        <v>3033</v>
      </c>
      <c r="BP947" t="s">
        <v>74</v>
      </c>
      <c r="BQ947" t="s">
        <v>74</v>
      </c>
      <c r="BR947" t="s">
        <v>101</v>
      </c>
      <c r="BS947" t="s">
        <v>12582</v>
      </c>
      <c r="BT947" t="str">
        <f>HYPERLINK("https%3A%2F%2Fwww.webofscience.com%2Fwos%2Fwoscc%2Ffull-record%2FWOS:000255126200008","View Full Record in Web of Science")</f>
        <v>View Full Record in Web of Science</v>
      </c>
    </row>
    <row r="948" spans="1:72" x14ac:dyDescent="0.15">
      <c r="A948" t="s">
        <v>72</v>
      </c>
      <c r="B948" t="s">
        <v>12583</v>
      </c>
      <c r="C948" t="s">
        <v>74</v>
      </c>
      <c r="D948" t="s">
        <v>74</v>
      </c>
      <c r="E948" t="s">
        <v>74</v>
      </c>
      <c r="F948" t="s">
        <v>12584</v>
      </c>
      <c r="G948" t="s">
        <v>74</v>
      </c>
      <c r="H948" t="s">
        <v>74</v>
      </c>
      <c r="I948" t="s">
        <v>12585</v>
      </c>
      <c r="J948" t="s">
        <v>12586</v>
      </c>
      <c r="K948" t="s">
        <v>74</v>
      </c>
      <c r="L948" t="s">
        <v>74</v>
      </c>
      <c r="M948" t="s">
        <v>78</v>
      </c>
      <c r="N948" t="s">
        <v>2737</v>
      </c>
      <c r="O948" t="s">
        <v>74</v>
      </c>
      <c r="P948" t="s">
        <v>74</v>
      </c>
      <c r="Q948" t="s">
        <v>74</v>
      </c>
      <c r="R948" t="s">
        <v>74</v>
      </c>
      <c r="S948" t="s">
        <v>74</v>
      </c>
      <c r="T948" t="s">
        <v>74</v>
      </c>
      <c r="U948" t="s">
        <v>12587</v>
      </c>
      <c r="V948" t="s">
        <v>74</v>
      </c>
      <c r="W948" t="s">
        <v>12588</v>
      </c>
      <c r="X948" t="s">
        <v>12589</v>
      </c>
      <c r="Y948" t="s">
        <v>12590</v>
      </c>
      <c r="Z948" t="s">
        <v>74</v>
      </c>
      <c r="AA948" t="s">
        <v>74</v>
      </c>
      <c r="AB948" t="s">
        <v>9851</v>
      </c>
      <c r="AC948" t="s">
        <v>74</v>
      </c>
      <c r="AD948" t="s">
        <v>74</v>
      </c>
      <c r="AE948" t="s">
        <v>74</v>
      </c>
      <c r="AF948" t="s">
        <v>74</v>
      </c>
      <c r="AG948">
        <v>14</v>
      </c>
      <c r="AH948">
        <v>1</v>
      </c>
      <c r="AI948">
        <v>2</v>
      </c>
      <c r="AJ948">
        <v>0</v>
      </c>
      <c r="AK948">
        <v>2</v>
      </c>
      <c r="AL948" t="s">
        <v>4724</v>
      </c>
      <c r="AM948" t="s">
        <v>2747</v>
      </c>
      <c r="AN948" t="s">
        <v>4725</v>
      </c>
      <c r="AO948" t="s">
        <v>12591</v>
      </c>
      <c r="AP948" t="s">
        <v>12592</v>
      </c>
      <c r="AQ948" t="s">
        <v>74</v>
      </c>
      <c r="AR948" t="s">
        <v>12593</v>
      </c>
      <c r="AS948" t="s">
        <v>12594</v>
      </c>
      <c r="AT948" t="s">
        <v>11917</v>
      </c>
      <c r="AU948">
        <v>2008</v>
      </c>
      <c r="AV948">
        <v>418</v>
      </c>
      <c r="AW948">
        <v>1</v>
      </c>
      <c r="AX948" t="s">
        <v>74</v>
      </c>
      <c r="AY948" t="s">
        <v>74</v>
      </c>
      <c r="AZ948" t="s">
        <v>74</v>
      </c>
      <c r="BA948" t="s">
        <v>74</v>
      </c>
      <c r="BB948">
        <v>149</v>
      </c>
      <c r="BC948">
        <v>154</v>
      </c>
      <c r="BD948" t="s">
        <v>74</v>
      </c>
      <c r="BE948" t="s">
        <v>12595</v>
      </c>
      <c r="BF948" t="str">
        <f>HYPERLINK("http://dx.doi.org/10.1134/S1028334X08010339","http://dx.doi.org/10.1134/S1028334X08010339")</f>
        <v>http://dx.doi.org/10.1134/S1028334X08010339</v>
      </c>
      <c r="BG948" t="s">
        <v>74</v>
      </c>
      <c r="BH948" t="s">
        <v>74</v>
      </c>
      <c r="BI948">
        <v>6</v>
      </c>
      <c r="BJ948" t="s">
        <v>3093</v>
      </c>
      <c r="BK948" t="s">
        <v>419</v>
      </c>
      <c r="BL948" t="s">
        <v>3094</v>
      </c>
      <c r="BM948" t="s">
        <v>12596</v>
      </c>
      <c r="BN948" t="s">
        <v>74</v>
      </c>
      <c r="BO948" t="s">
        <v>3033</v>
      </c>
      <c r="BP948" t="s">
        <v>74</v>
      </c>
      <c r="BQ948" t="s">
        <v>74</v>
      </c>
      <c r="BR948" t="s">
        <v>101</v>
      </c>
      <c r="BS948" t="s">
        <v>12597</v>
      </c>
      <c r="BT948" t="str">
        <f>HYPERLINK("https%3A%2F%2Fwww.webofscience.com%2Fwos%2Fwoscc%2Ffull-record%2FWOS:000255032100033","View Full Record in Web of Science")</f>
        <v>View Full Record in Web of Science</v>
      </c>
    </row>
    <row r="949" spans="1:72" x14ac:dyDescent="0.15">
      <c r="A949" t="s">
        <v>72</v>
      </c>
      <c r="B949" t="s">
        <v>12598</v>
      </c>
      <c r="C949" t="s">
        <v>74</v>
      </c>
      <c r="D949" t="s">
        <v>74</v>
      </c>
      <c r="E949" t="s">
        <v>74</v>
      </c>
      <c r="F949" t="s">
        <v>12599</v>
      </c>
      <c r="G949" t="s">
        <v>74</v>
      </c>
      <c r="H949" t="s">
        <v>74</v>
      </c>
      <c r="I949" t="s">
        <v>12600</v>
      </c>
      <c r="J949" t="s">
        <v>3248</v>
      </c>
      <c r="K949" t="s">
        <v>74</v>
      </c>
      <c r="L949" t="s">
        <v>74</v>
      </c>
      <c r="M949" t="s">
        <v>78</v>
      </c>
      <c r="N949" t="s">
        <v>2737</v>
      </c>
      <c r="O949" t="s">
        <v>74</v>
      </c>
      <c r="P949" t="s">
        <v>74</v>
      </c>
      <c r="Q949" t="s">
        <v>74</v>
      </c>
      <c r="R949" t="s">
        <v>74</v>
      </c>
      <c r="S949" t="s">
        <v>74</v>
      </c>
      <c r="T949" t="s">
        <v>12601</v>
      </c>
      <c r="U949" t="s">
        <v>12602</v>
      </c>
      <c r="V949" t="s">
        <v>12603</v>
      </c>
      <c r="W949" t="s">
        <v>12604</v>
      </c>
      <c r="X949" t="s">
        <v>12605</v>
      </c>
      <c r="Y949" t="s">
        <v>12606</v>
      </c>
      <c r="Z949" t="s">
        <v>12607</v>
      </c>
      <c r="AA949" t="s">
        <v>12608</v>
      </c>
      <c r="AB949" t="s">
        <v>12609</v>
      </c>
      <c r="AC949" t="s">
        <v>74</v>
      </c>
      <c r="AD949" t="s">
        <v>74</v>
      </c>
      <c r="AE949" t="s">
        <v>74</v>
      </c>
      <c r="AF949" t="s">
        <v>74</v>
      </c>
      <c r="AG949">
        <v>38</v>
      </c>
      <c r="AH949">
        <v>73</v>
      </c>
      <c r="AI949">
        <v>93</v>
      </c>
      <c r="AJ949">
        <v>4</v>
      </c>
      <c r="AK949">
        <v>26</v>
      </c>
      <c r="AL949" t="s">
        <v>3257</v>
      </c>
      <c r="AM949" t="s">
        <v>3258</v>
      </c>
      <c r="AN949" t="s">
        <v>3259</v>
      </c>
      <c r="AO949" t="s">
        <v>3260</v>
      </c>
      <c r="AP949" t="s">
        <v>5435</v>
      </c>
      <c r="AQ949" t="s">
        <v>74</v>
      </c>
      <c r="AR949" t="s">
        <v>3261</v>
      </c>
      <c r="AS949" t="s">
        <v>3262</v>
      </c>
      <c r="AT949" t="s">
        <v>12610</v>
      </c>
      <c r="AU949">
        <v>2008</v>
      </c>
      <c r="AV949">
        <v>266</v>
      </c>
      <c r="AW949" t="s">
        <v>5676</v>
      </c>
      <c r="AX949" t="s">
        <v>74</v>
      </c>
      <c r="AY949" t="s">
        <v>74</v>
      </c>
      <c r="AZ949" t="s">
        <v>74</v>
      </c>
      <c r="BA949" t="s">
        <v>74</v>
      </c>
      <c r="BB949">
        <v>140</v>
      </c>
      <c r="BC949">
        <v>148</v>
      </c>
      <c r="BD949" t="s">
        <v>74</v>
      </c>
      <c r="BE949" t="s">
        <v>12611</v>
      </c>
      <c r="BF949" t="str">
        <f>HYPERLINK("http://dx.doi.org/10.1016/j.epsl.2007.10.057","http://dx.doi.org/10.1016/j.epsl.2007.10.057")</f>
        <v>http://dx.doi.org/10.1016/j.epsl.2007.10.057</v>
      </c>
      <c r="BG949" t="s">
        <v>74</v>
      </c>
      <c r="BH949" t="s">
        <v>74</v>
      </c>
      <c r="BI949">
        <v>9</v>
      </c>
      <c r="BJ949" t="s">
        <v>98</v>
      </c>
      <c r="BK949" t="s">
        <v>419</v>
      </c>
      <c r="BL949" t="s">
        <v>98</v>
      </c>
      <c r="BM949" t="s">
        <v>12612</v>
      </c>
      <c r="BN949" t="s">
        <v>74</v>
      </c>
      <c r="BO949" t="s">
        <v>3290</v>
      </c>
      <c r="BP949" t="s">
        <v>74</v>
      </c>
      <c r="BQ949" t="s">
        <v>74</v>
      </c>
      <c r="BR949" t="s">
        <v>101</v>
      </c>
      <c r="BS949" t="s">
        <v>12613</v>
      </c>
      <c r="BT949" t="str">
        <f>HYPERLINK("https%3A%2F%2Fwww.webofscience.com%2Fwos%2Fwoscc%2Ffull-record%2FWOS:000253274500010","View Full Record in Web of Science")</f>
        <v>View Full Record in Web of Science</v>
      </c>
    </row>
    <row r="950" spans="1:72" x14ac:dyDescent="0.15">
      <c r="A950" t="s">
        <v>72</v>
      </c>
      <c r="B950" t="s">
        <v>12614</v>
      </c>
      <c r="C950" t="s">
        <v>74</v>
      </c>
      <c r="D950" t="s">
        <v>74</v>
      </c>
      <c r="E950" t="s">
        <v>74</v>
      </c>
      <c r="F950" t="s">
        <v>12615</v>
      </c>
      <c r="G950" t="s">
        <v>74</v>
      </c>
      <c r="H950" t="s">
        <v>74</v>
      </c>
      <c r="I950" t="s">
        <v>12616</v>
      </c>
      <c r="J950" t="s">
        <v>8422</v>
      </c>
      <c r="K950" t="s">
        <v>74</v>
      </c>
      <c r="L950" t="s">
        <v>74</v>
      </c>
      <c r="M950" t="s">
        <v>78</v>
      </c>
      <c r="N950" t="s">
        <v>2737</v>
      </c>
      <c r="O950" t="s">
        <v>74</v>
      </c>
      <c r="P950" t="s">
        <v>74</v>
      </c>
      <c r="Q950" t="s">
        <v>74</v>
      </c>
      <c r="R950" t="s">
        <v>74</v>
      </c>
      <c r="S950" t="s">
        <v>74</v>
      </c>
      <c r="T950" t="s">
        <v>12617</v>
      </c>
      <c r="U950" t="s">
        <v>12618</v>
      </c>
      <c r="V950" t="s">
        <v>12619</v>
      </c>
      <c r="W950" t="s">
        <v>12620</v>
      </c>
      <c r="X950" t="s">
        <v>11247</v>
      </c>
      <c r="Y950" t="s">
        <v>12621</v>
      </c>
      <c r="Z950" t="s">
        <v>12622</v>
      </c>
      <c r="AA950" t="s">
        <v>12623</v>
      </c>
      <c r="AB950" t="s">
        <v>12624</v>
      </c>
      <c r="AC950" t="s">
        <v>74</v>
      </c>
      <c r="AD950" t="s">
        <v>74</v>
      </c>
      <c r="AE950" t="s">
        <v>74</v>
      </c>
      <c r="AF950" t="s">
        <v>74</v>
      </c>
      <c r="AG950">
        <v>47</v>
      </c>
      <c r="AH950">
        <v>83</v>
      </c>
      <c r="AI950">
        <v>95</v>
      </c>
      <c r="AJ950">
        <v>0</v>
      </c>
      <c r="AK950">
        <v>16</v>
      </c>
      <c r="AL950" t="s">
        <v>149</v>
      </c>
      <c r="AM950" t="s">
        <v>150</v>
      </c>
      <c r="AN950" t="s">
        <v>151</v>
      </c>
      <c r="AO950" t="s">
        <v>8431</v>
      </c>
      <c r="AP950" t="s">
        <v>74</v>
      </c>
      <c r="AQ950" t="s">
        <v>74</v>
      </c>
      <c r="AR950" t="s">
        <v>8433</v>
      </c>
      <c r="AS950" t="s">
        <v>8434</v>
      </c>
      <c r="AT950" t="s">
        <v>11917</v>
      </c>
      <c r="AU950">
        <v>2008</v>
      </c>
      <c r="AV950">
        <v>33</v>
      </c>
      <c r="AW950">
        <v>2</v>
      </c>
      <c r="AX950" t="s">
        <v>74</v>
      </c>
      <c r="AY950" t="s">
        <v>74</v>
      </c>
      <c r="AZ950" t="s">
        <v>74</v>
      </c>
      <c r="BA950" t="s">
        <v>74</v>
      </c>
      <c r="BB950">
        <v>244</v>
      </c>
      <c r="BC950">
        <v>262</v>
      </c>
      <c r="BD950" t="s">
        <v>74</v>
      </c>
      <c r="BE950" t="s">
        <v>12625</v>
      </c>
      <c r="BF950" t="str">
        <f>HYPERLINK("http://dx.doi.org/10.1002/esp.1541","http://dx.doi.org/10.1002/esp.1541")</f>
        <v>http://dx.doi.org/10.1002/esp.1541</v>
      </c>
      <c r="BG950" t="s">
        <v>74</v>
      </c>
      <c r="BH950" t="s">
        <v>74</v>
      </c>
      <c r="BI950">
        <v>19</v>
      </c>
      <c r="BJ950" t="s">
        <v>3015</v>
      </c>
      <c r="BK950" t="s">
        <v>419</v>
      </c>
      <c r="BL950" t="s">
        <v>3016</v>
      </c>
      <c r="BM950" t="s">
        <v>12626</v>
      </c>
      <c r="BN950" t="s">
        <v>74</v>
      </c>
      <c r="BO950" t="s">
        <v>74</v>
      </c>
      <c r="BP950" t="s">
        <v>74</v>
      </c>
      <c r="BQ950" t="s">
        <v>74</v>
      </c>
      <c r="BR950" t="s">
        <v>101</v>
      </c>
      <c r="BS950" t="s">
        <v>12627</v>
      </c>
      <c r="BT950" t="str">
        <f>HYPERLINK("https%3A%2F%2Fwww.webofscience.com%2Fwos%2Fwoscc%2Ffull-record%2FWOS:000253695100006","View Full Record in Web of Science")</f>
        <v>View Full Record in Web of Science</v>
      </c>
    </row>
    <row r="951" spans="1:72" x14ac:dyDescent="0.15">
      <c r="A951" t="s">
        <v>72</v>
      </c>
      <c r="B951" t="s">
        <v>10262</v>
      </c>
      <c r="C951" t="s">
        <v>74</v>
      </c>
      <c r="D951" t="s">
        <v>74</v>
      </c>
      <c r="E951" t="s">
        <v>74</v>
      </c>
      <c r="F951" t="s">
        <v>10263</v>
      </c>
      <c r="G951" t="s">
        <v>74</v>
      </c>
      <c r="H951" t="s">
        <v>74</v>
      </c>
      <c r="I951" t="s">
        <v>12628</v>
      </c>
      <c r="J951" t="s">
        <v>8422</v>
      </c>
      <c r="K951" t="s">
        <v>74</v>
      </c>
      <c r="L951" t="s">
        <v>74</v>
      </c>
      <c r="M951" t="s">
        <v>78</v>
      </c>
      <c r="N951" t="s">
        <v>2737</v>
      </c>
      <c r="O951" t="s">
        <v>74</v>
      </c>
      <c r="P951" t="s">
        <v>74</v>
      </c>
      <c r="Q951" t="s">
        <v>74</v>
      </c>
      <c r="R951" t="s">
        <v>74</v>
      </c>
      <c r="S951" t="s">
        <v>74</v>
      </c>
      <c r="T951" t="s">
        <v>12629</v>
      </c>
      <c r="U951" t="s">
        <v>12630</v>
      </c>
      <c r="V951" t="s">
        <v>12631</v>
      </c>
      <c r="W951" t="s">
        <v>12632</v>
      </c>
      <c r="X951" t="s">
        <v>10269</v>
      </c>
      <c r="Y951" t="s">
        <v>10270</v>
      </c>
      <c r="Z951" t="s">
        <v>10271</v>
      </c>
      <c r="AA951" t="s">
        <v>74</v>
      </c>
      <c r="AB951" t="s">
        <v>74</v>
      </c>
      <c r="AC951" t="s">
        <v>74</v>
      </c>
      <c r="AD951" t="s">
        <v>74</v>
      </c>
      <c r="AE951" t="s">
        <v>74</v>
      </c>
      <c r="AF951" t="s">
        <v>74</v>
      </c>
      <c r="AG951">
        <v>47</v>
      </c>
      <c r="AH951">
        <v>29</v>
      </c>
      <c r="AI951">
        <v>32</v>
      </c>
      <c r="AJ951">
        <v>0</v>
      </c>
      <c r="AK951">
        <v>11</v>
      </c>
      <c r="AL951" t="s">
        <v>88</v>
      </c>
      <c r="AM951" t="s">
        <v>89</v>
      </c>
      <c r="AN951" t="s">
        <v>90</v>
      </c>
      <c r="AO951" t="s">
        <v>8431</v>
      </c>
      <c r="AP951" t="s">
        <v>8432</v>
      </c>
      <c r="AQ951" t="s">
        <v>74</v>
      </c>
      <c r="AR951" t="s">
        <v>8433</v>
      </c>
      <c r="AS951" t="s">
        <v>8434</v>
      </c>
      <c r="AT951" t="s">
        <v>11917</v>
      </c>
      <c r="AU951">
        <v>2008</v>
      </c>
      <c r="AV951">
        <v>33</v>
      </c>
      <c r="AW951">
        <v>2</v>
      </c>
      <c r="AX951" t="s">
        <v>74</v>
      </c>
      <c r="AY951" t="s">
        <v>74</v>
      </c>
      <c r="AZ951" t="s">
        <v>74</v>
      </c>
      <c r="BA951" t="s">
        <v>74</v>
      </c>
      <c r="BB951">
        <v>295</v>
      </c>
      <c r="BC951">
        <v>307</v>
      </c>
      <c r="BD951" t="s">
        <v>74</v>
      </c>
      <c r="BE951" t="s">
        <v>12633</v>
      </c>
      <c r="BF951" t="str">
        <f>HYPERLINK("http://dx.doi.org/10.1002/esp.1618","http://dx.doi.org/10.1002/esp.1618")</f>
        <v>http://dx.doi.org/10.1002/esp.1618</v>
      </c>
      <c r="BG951" t="s">
        <v>74</v>
      </c>
      <c r="BH951" t="s">
        <v>74</v>
      </c>
      <c r="BI951">
        <v>13</v>
      </c>
      <c r="BJ951" t="s">
        <v>3015</v>
      </c>
      <c r="BK951" t="s">
        <v>419</v>
      </c>
      <c r="BL951" t="s">
        <v>3016</v>
      </c>
      <c r="BM951" t="s">
        <v>12626</v>
      </c>
      <c r="BN951" t="s">
        <v>74</v>
      </c>
      <c r="BO951" t="s">
        <v>74</v>
      </c>
      <c r="BP951" t="s">
        <v>74</v>
      </c>
      <c r="BQ951" t="s">
        <v>74</v>
      </c>
      <c r="BR951" t="s">
        <v>101</v>
      </c>
      <c r="BS951" t="s">
        <v>12634</v>
      </c>
      <c r="BT951" t="str">
        <f>HYPERLINK("https%3A%2F%2Fwww.webofscience.com%2Fwos%2Fwoscc%2Ffull-record%2FWOS:000253695100009","View Full Record in Web of Science")</f>
        <v>View Full Record in Web of Science</v>
      </c>
    </row>
    <row r="952" spans="1:72" x14ac:dyDescent="0.15">
      <c r="A952" t="s">
        <v>72</v>
      </c>
      <c r="B952" t="s">
        <v>12635</v>
      </c>
      <c r="C952" t="s">
        <v>74</v>
      </c>
      <c r="D952" t="s">
        <v>74</v>
      </c>
      <c r="E952" t="s">
        <v>74</v>
      </c>
      <c r="F952" t="s">
        <v>12636</v>
      </c>
      <c r="G952" t="s">
        <v>74</v>
      </c>
      <c r="H952" t="s">
        <v>74</v>
      </c>
      <c r="I952" t="s">
        <v>12637</v>
      </c>
      <c r="J952" t="s">
        <v>4584</v>
      </c>
      <c r="K952" t="s">
        <v>74</v>
      </c>
      <c r="L952" t="s">
        <v>74</v>
      </c>
      <c r="M952" t="s">
        <v>78</v>
      </c>
      <c r="N952" t="s">
        <v>2737</v>
      </c>
      <c r="O952" t="s">
        <v>74</v>
      </c>
      <c r="P952" t="s">
        <v>74</v>
      </c>
      <c r="Q952" t="s">
        <v>74</v>
      </c>
      <c r="R952" t="s">
        <v>74</v>
      </c>
      <c r="S952" t="s">
        <v>74</v>
      </c>
      <c r="T952" t="s">
        <v>74</v>
      </c>
      <c r="U952" t="s">
        <v>12638</v>
      </c>
      <c r="V952" t="s">
        <v>12639</v>
      </c>
      <c r="W952" t="s">
        <v>12640</v>
      </c>
      <c r="X952" t="s">
        <v>12641</v>
      </c>
      <c r="Y952" t="s">
        <v>12642</v>
      </c>
      <c r="Z952" t="s">
        <v>12643</v>
      </c>
      <c r="AA952" t="s">
        <v>12644</v>
      </c>
      <c r="AB952" t="s">
        <v>12645</v>
      </c>
      <c r="AC952" t="s">
        <v>3387</v>
      </c>
      <c r="AD952" t="s">
        <v>2792</v>
      </c>
      <c r="AE952" t="s">
        <v>74</v>
      </c>
      <c r="AF952" t="s">
        <v>74</v>
      </c>
      <c r="AG952">
        <v>48</v>
      </c>
      <c r="AH952">
        <v>302</v>
      </c>
      <c r="AI952">
        <v>341</v>
      </c>
      <c r="AJ952">
        <v>5</v>
      </c>
      <c r="AK952">
        <v>128</v>
      </c>
      <c r="AL952" t="s">
        <v>88</v>
      </c>
      <c r="AM952" t="s">
        <v>89</v>
      </c>
      <c r="AN952" t="s">
        <v>90</v>
      </c>
      <c r="AO952" t="s">
        <v>4592</v>
      </c>
      <c r="AP952" t="s">
        <v>4593</v>
      </c>
      <c r="AQ952" t="s">
        <v>74</v>
      </c>
      <c r="AR952" t="s">
        <v>4584</v>
      </c>
      <c r="AS952" t="s">
        <v>4594</v>
      </c>
      <c r="AT952" t="s">
        <v>11917</v>
      </c>
      <c r="AU952">
        <v>2008</v>
      </c>
      <c r="AV952">
        <v>31</v>
      </c>
      <c r="AW952">
        <v>1</v>
      </c>
      <c r="AX952" t="s">
        <v>74</v>
      </c>
      <c r="AY952" t="s">
        <v>74</v>
      </c>
      <c r="AZ952" t="s">
        <v>74</v>
      </c>
      <c r="BA952" t="s">
        <v>74</v>
      </c>
      <c r="BB952">
        <v>8</v>
      </c>
      <c r="BC952">
        <v>15</v>
      </c>
      <c r="BD952" t="s">
        <v>74</v>
      </c>
      <c r="BE952" t="s">
        <v>12646</v>
      </c>
      <c r="BF952" t="str">
        <f>HYPERLINK("http://dx.doi.org/10.1111/j.2007.0906-7590.05318.x","http://dx.doi.org/10.1111/j.2007.0906-7590.05318.x")</f>
        <v>http://dx.doi.org/10.1111/j.2007.0906-7590.05318.x</v>
      </c>
      <c r="BG952" t="s">
        <v>74</v>
      </c>
      <c r="BH952" t="s">
        <v>74</v>
      </c>
      <c r="BI952">
        <v>8</v>
      </c>
      <c r="BJ952" t="s">
        <v>2895</v>
      </c>
      <c r="BK952" t="s">
        <v>419</v>
      </c>
      <c r="BL952" t="s">
        <v>2896</v>
      </c>
      <c r="BM952" t="s">
        <v>12647</v>
      </c>
      <c r="BN952" t="s">
        <v>74</v>
      </c>
      <c r="BO952" t="s">
        <v>3290</v>
      </c>
      <c r="BP952" t="s">
        <v>74</v>
      </c>
      <c r="BQ952" t="s">
        <v>74</v>
      </c>
      <c r="BR952" t="s">
        <v>101</v>
      </c>
      <c r="BS952" t="s">
        <v>12648</v>
      </c>
      <c r="BT952" t="str">
        <f>HYPERLINK("https%3A%2F%2Fwww.webofscience.com%2Fwos%2Fwoscc%2Ffull-record%2FWOS:000253477500003","View Full Record in Web of Science")</f>
        <v>View Full Record in Web of Science</v>
      </c>
    </row>
    <row r="953" spans="1:72" x14ac:dyDescent="0.15">
      <c r="A953" t="s">
        <v>72</v>
      </c>
      <c r="B953" t="s">
        <v>12649</v>
      </c>
      <c r="C953" t="s">
        <v>74</v>
      </c>
      <c r="D953" t="s">
        <v>74</v>
      </c>
      <c r="E953" t="s">
        <v>74</v>
      </c>
      <c r="F953" t="s">
        <v>12650</v>
      </c>
      <c r="G953" t="s">
        <v>74</v>
      </c>
      <c r="H953" t="s">
        <v>74</v>
      </c>
      <c r="I953" t="s">
        <v>12651</v>
      </c>
      <c r="J953" t="s">
        <v>4584</v>
      </c>
      <c r="K953" t="s">
        <v>74</v>
      </c>
      <c r="L953" t="s">
        <v>74</v>
      </c>
      <c r="M953" t="s">
        <v>78</v>
      </c>
      <c r="N953" t="s">
        <v>2958</v>
      </c>
      <c r="O953" t="s">
        <v>74</v>
      </c>
      <c r="P953" t="s">
        <v>74</v>
      </c>
      <c r="Q953" t="s">
        <v>74</v>
      </c>
      <c r="R953" t="s">
        <v>74</v>
      </c>
      <c r="S953" t="s">
        <v>74</v>
      </c>
      <c r="T953" t="s">
        <v>74</v>
      </c>
      <c r="U953" t="s">
        <v>12652</v>
      </c>
      <c r="V953" t="s">
        <v>12653</v>
      </c>
      <c r="W953" t="s">
        <v>12654</v>
      </c>
      <c r="X953" t="s">
        <v>12655</v>
      </c>
      <c r="Y953" t="s">
        <v>12656</v>
      </c>
      <c r="Z953" t="s">
        <v>12657</v>
      </c>
      <c r="AA953" t="s">
        <v>12658</v>
      </c>
      <c r="AB953" t="s">
        <v>12659</v>
      </c>
      <c r="AC953" t="s">
        <v>74</v>
      </c>
      <c r="AD953" t="s">
        <v>74</v>
      </c>
      <c r="AE953" t="s">
        <v>74</v>
      </c>
      <c r="AF953" t="s">
        <v>74</v>
      </c>
      <c r="AG953">
        <v>94</v>
      </c>
      <c r="AH953">
        <v>51</v>
      </c>
      <c r="AI953">
        <v>59</v>
      </c>
      <c r="AJ953">
        <v>2</v>
      </c>
      <c r="AK953">
        <v>72</v>
      </c>
      <c r="AL953" t="s">
        <v>88</v>
      </c>
      <c r="AM953" t="s">
        <v>89</v>
      </c>
      <c r="AN953" t="s">
        <v>90</v>
      </c>
      <c r="AO953" t="s">
        <v>4592</v>
      </c>
      <c r="AP953" t="s">
        <v>4593</v>
      </c>
      <c r="AQ953" t="s">
        <v>74</v>
      </c>
      <c r="AR953" t="s">
        <v>4584</v>
      </c>
      <c r="AS953" t="s">
        <v>4594</v>
      </c>
      <c r="AT953" t="s">
        <v>11917</v>
      </c>
      <c r="AU953">
        <v>2008</v>
      </c>
      <c r="AV953">
        <v>31</v>
      </c>
      <c r="AW953">
        <v>1</v>
      </c>
      <c r="AX953" t="s">
        <v>74</v>
      </c>
      <c r="AY953" t="s">
        <v>74</v>
      </c>
      <c r="AZ953" t="s">
        <v>74</v>
      </c>
      <c r="BA953" t="s">
        <v>74</v>
      </c>
      <c r="BB953">
        <v>73</v>
      </c>
      <c r="BC953">
        <v>83</v>
      </c>
      <c r="BD953" t="s">
        <v>74</v>
      </c>
      <c r="BE953" t="s">
        <v>12660</v>
      </c>
      <c r="BF953" t="str">
        <f>HYPERLINK("http://dx.doi.org/10.1111/j.2007.0906-7590.05090.x","http://dx.doi.org/10.1111/j.2007.0906-7590.05090.x")</f>
        <v>http://dx.doi.org/10.1111/j.2007.0906-7590.05090.x</v>
      </c>
      <c r="BG953" t="s">
        <v>74</v>
      </c>
      <c r="BH953" t="s">
        <v>74</v>
      </c>
      <c r="BI953">
        <v>11</v>
      </c>
      <c r="BJ953" t="s">
        <v>2895</v>
      </c>
      <c r="BK953" t="s">
        <v>419</v>
      </c>
      <c r="BL953" t="s">
        <v>2896</v>
      </c>
      <c r="BM953" t="s">
        <v>12647</v>
      </c>
      <c r="BN953" t="s">
        <v>74</v>
      </c>
      <c r="BO953" t="s">
        <v>74</v>
      </c>
      <c r="BP953" t="s">
        <v>74</v>
      </c>
      <c r="BQ953" t="s">
        <v>74</v>
      </c>
      <c r="BR953" t="s">
        <v>101</v>
      </c>
      <c r="BS953" t="s">
        <v>12661</v>
      </c>
      <c r="BT953" t="str">
        <f>HYPERLINK("https%3A%2F%2Fwww.webofscience.com%2Fwos%2Fwoscc%2Ffull-record%2FWOS:000253477500010","View Full Record in Web of Science")</f>
        <v>View Full Record in Web of Science</v>
      </c>
    </row>
    <row r="954" spans="1:72" x14ac:dyDescent="0.15">
      <c r="A954" t="s">
        <v>72</v>
      </c>
      <c r="B954" t="s">
        <v>12662</v>
      </c>
      <c r="C954" t="s">
        <v>74</v>
      </c>
      <c r="D954" t="s">
        <v>74</v>
      </c>
      <c r="E954" t="s">
        <v>74</v>
      </c>
      <c r="F954" t="s">
        <v>12663</v>
      </c>
      <c r="G954" t="s">
        <v>74</v>
      </c>
      <c r="H954" t="s">
        <v>74</v>
      </c>
      <c r="I954" t="s">
        <v>12664</v>
      </c>
      <c r="J954" t="s">
        <v>12665</v>
      </c>
      <c r="K954" t="s">
        <v>74</v>
      </c>
      <c r="L954" t="s">
        <v>74</v>
      </c>
      <c r="M954" t="s">
        <v>78</v>
      </c>
      <c r="N954" t="s">
        <v>2737</v>
      </c>
      <c r="O954" t="s">
        <v>74</v>
      </c>
      <c r="P954" t="s">
        <v>74</v>
      </c>
      <c r="Q954" t="s">
        <v>74</v>
      </c>
      <c r="R954" t="s">
        <v>74</v>
      </c>
      <c r="S954" t="s">
        <v>74</v>
      </c>
      <c r="T954" t="s">
        <v>74</v>
      </c>
      <c r="U954" t="s">
        <v>12666</v>
      </c>
      <c r="V954" t="s">
        <v>12667</v>
      </c>
      <c r="W954" t="s">
        <v>12668</v>
      </c>
      <c r="X954" t="s">
        <v>12669</v>
      </c>
      <c r="Y954" t="s">
        <v>12670</v>
      </c>
      <c r="Z954" t="s">
        <v>12671</v>
      </c>
      <c r="AA954" t="s">
        <v>12672</v>
      </c>
      <c r="AB954" t="s">
        <v>12673</v>
      </c>
      <c r="AC954" t="s">
        <v>74</v>
      </c>
      <c r="AD954" t="s">
        <v>74</v>
      </c>
      <c r="AE954" t="s">
        <v>74</v>
      </c>
      <c r="AF954" t="s">
        <v>74</v>
      </c>
      <c r="AG954">
        <v>62</v>
      </c>
      <c r="AH954">
        <v>35</v>
      </c>
      <c r="AI954">
        <v>38</v>
      </c>
      <c r="AJ954">
        <v>0</v>
      </c>
      <c r="AK954">
        <v>8</v>
      </c>
      <c r="AL954" t="s">
        <v>88</v>
      </c>
      <c r="AM954" t="s">
        <v>89</v>
      </c>
      <c r="AN954" t="s">
        <v>90</v>
      </c>
      <c r="AO954" t="s">
        <v>12674</v>
      </c>
      <c r="AP954" t="s">
        <v>12675</v>
      </c>
      <c r="AQ954" t="s">
        <v>74</v>
      </c>
      <c r="AR954" t="s">
        <v>12676</v>
      </c>
      <c r="AS954" t="s">
        <v>12677</v>
      </c>
      <c r="AT954" t="s">
        <v>11917</v>
      </c>
      <c r="AU954">
        <v>2008</v>
      </c>
      <c r="AV954">
        <v>10</v>
      </c>
      <c r="AW954">
        <v>2</v>
      </c>
      <c r="AX954" t="s">
        <v>74</v>
      </c>
      <c r="AY954" t="s">
        <v>74</v>
      </c>
      <c r="AZ954" t="s">
        <v>74</v>
      </c>
      <c r="BA954" t="s">
        <v>74</v>
      </c>
      <c r="BB954">
        <v>506</v>
      </c>
      <c r="BC954">
        <v>521</v>
      </c>
      <c r="BD954" t="s">
        <v>74</v>
      </c>
      <c r="BE954" t="s">
        <v>12678</v>
      </c>
      <c r="BF954" t="str">
        <f>HYPERLINK("http://dx.doi.org/10.1111/j.1462-2920.2007.01471.x","http://dx.doi.org/10.1111/j.1462-2920.2007.01471.x")</f>
        <v>http://dx.doi.org/10.1111/j.1462-2920.2007.01471.x</v>
      </c>
      <c r="BG954" t="s">
        <v>74</v>
      </c>
      <c r="BH954" t="s">
        <v>74</v>
      </c>
      <c r="BI954">
        <v>16</v>
      </c>
      <c r="BJ954" t="s">
        <v>4689</v>
      </c>
      <c r="BK954" t="s">
        <v>419</v>
      </c>
      <c r="BL954" t="s">
        <v>4689</v>
      </c>
      <c r="BM954" t="s">
        <v>12679</v>
      </c>
      <c r="BN954">
        <v>18028413</v>
      </c>
      <c r="BO954" t="s">
        <v>74</v>
      </c>
      <c r="BP954" t="s">
        <v>74</v>
      </c>
      <c r="BQ954" t="s">
        <v>74</v>
      </c>
      <c r="BR954" t="s">
        <v>101</v>
      </c>
      <c r="BS954" t="s">
        <v>12680</v>
      </c>
      <c r="BT954" t="str">
        <f>HYPERLINK("https%3A%2F%2Fwww.webofscience.com%2Fwos%2Fwoscc%2Ffull-record%2FWOS:000252320800020","View Full Record in Web of Science")</f>
        <v>View Full Record in Web of Science</v>
      </c>
    </row>
    <row r="955" spans="1:72" x14ac:dyDescent="0.15">
      <c r="A955" t="s">
        <v>72</v>
      </c>
      <c r="B955" t="s">
        <v>12681</v>
      </c>
      <c r="C955" t="s">
        <v>74</v>
      </c>
      <c r="D955" t="s">
        <v>74</v>
      </c>
      <c r="E955" t="s">
        <v>74</v>
      </c>
      <c r="F955" t="s">
        <v>12682</v>
      </c>
      <c r="G955" t="s">
        <v>74</v>
      </c>
      <c r="H955" t="s">
        <v>74</v>
      </c>
      <c r="I955" t="s">
        <v>12683</v>
      </c>
      <c r="J955" t="s">
        <v>8584</v>
      </c>
      <c r="K955" t="s">
        <v>74</v>
      </c>
      <c r="L955" t="s">
        <v>74</v>
      </c>
      <c r="M955" t="s">
        <v>78</v>
      </c>
      <c r="N955" t="s">
        <v>2737</v>
      </c>
      <c r="O955" t="s">
        <v>74</v>
      </c>
      <c r="P955" t="s">
        <v>74</v>
      </c>
      <c r="Q955" t="s">
        <v>74</v>
      </c>
      <c r="R955" t="s">
        <v>74</v>
      </c>
      <c r="S955" t="s">
        <v>74</v>
      </c>
      <c r="T955" t="s">
        <v>12684</v>
      </c>
      <c r="U955" t="s">
        <v>12685</v>
      </c>
      <c r="V955" t="s">
        <v>12686</v>
      </c>
      <c r="W955" t="s">
        <v>12687</v>
      </c>
      <c r="X955" t="s">
        <v>12688</v>
      </c>
      <c r="Y955" t="s">
        <v>12689</v>
      </c>
      <c r="Z955" t="s">
        <v>11370</v>
      </c>
      <c r="AA955" t="s">
        <v>74</v>
      </c>
      <c r="AB955" t="s">
        <v>74</v>
      </c>
      <c r="AC955" t="s">
        <v>12690</v>
      </c>
      <c r="AD955" t="s">
        <v>3031</v>
      </c>
      <c r="AE955" t="s">
        <v>74</v>
      </c>
      <c r="AF955" t="s">
        <v>74</v>
      </c>
      <c r="AG955">
        <v>50</v>
      </c>
      <c r="AH955">
        <v>125</v>
      </c>
      <c r="AI955">
        <v>147</v>
      </c>
      <c r="AJ955">
        <v>1</v>
      </c>
      <c r="AK955">
        <v>65</v>
      </c>
      <c r="AL955" t="s">
        <v>88</v>
      </c>
      <c r="AM955" t="s">
        <v>89</v>
      </c>
      <c r="AN955" t="s">
        <v>90</v>
      </c>
      <c r="AO955" t="s">
        <v>8595</v>
      </c>
      <c r="AP955" t="s">
        <v>8596</v>
      </c>
      <c r="AQ955" t="s">
        <v>74</v>
      </c>
      <c r="AR955" t="s">
        <v>8597</v>
      </c>
      <c r="AS955" t="s">
        <v>8598</v>
      </c>
      <c r="AT955" t="s">
        <v>11917</v>
      </c>
      <c r="AU955">
        <v>2008</v>
      </c>
      <c r="AV955">
        <v>22</v>
      </c>
      <c r="AW955">
        <v>1</v>
      </c>
      <c r="AX955" t="s">
        <v>74</v>
      </c>
      <c r="AY955" t="s">
        <v>74</v>
      </c>
      <c r="AZ955" t="s">
        <v>74</v>
      </c>
      <c r="BA955" t="s">
        <v>74</v>
      </c>
      <c r="BB955">
        <v>58</v>
      </c>
      <c r="BC955">
        <v>67</v>
      </c>
      <c r="BD955" t="s">
        <v>74</v>
      </c>
      <c r="BE955" t="s">
        <v>12691</v>
      </c>
      <c r="BF955" t="str">
        <f>HYPERLINK("http://dx.doi.org/10.1111/j.1365-2435.2007.01341.x","http://dx.doi.org/10.1111/j.1365-2435.2007.01341.x")</f>
        <v>http://dx.doi.org/10.1111/j.1365-2435.2007.01341.x</v>
      </c>
      <c r="BG955" t="s">
        <v>74</v>
      </c>
      <c r="BH955" t="s">
        <v>74</v>
      </c>
      <c r="BI955">
        <v>10</v>
      </c>
      <c r="BJ955" t="s">
        <v>8600</v>
      </c>
      <c r="BK955" t="s">
        <v>419</v>
      </c>
      <c r="BL955" t="s">
        <v>2972</v>
      </c>
      <c r="BM955" t="s">
        <v>12692</v>
      </c>
      <c r="BN955" t="s">
        <v>74</v>
      </c>
      <c r="BO955" t="s">
        <v>3290</v>
      </c>
      <c r="BP955" t="s">
        <v>74</v>
      </c>
      <c r="BQ955" t="s">
        <v>74</v>
      </c>
      <c r="BR955" t="s">
        <v>101</v>
      </c>
      <c r="BS955" t="s">
        <v>12693</v>
      </c>
      <c r="BT955" t="str">
        <f>HYPERLINK("https%3A%2F%2Fwww.webofscience.com%2Fwos%2Fwoscc%2Ffull-record%2FWOS:000252443600008","View Full Record in Web of Science")</f>
        <v>View Full Record in Web of Science</v>
      </c>
    </row>
    <row r="956" spans="1:72" x14ac:dyDescent="0.15">
      <c r="A956" t="s">
        <v>72</v>
      </c>
      <c r="B956" t="s">
        <v>12694</v>
      </c>
      <c r="C956" t="s">
        <v>74</v>
      </c>
      <c r="D956" t="s">
        <v>74</v>
      </c>
      <c r="E956" t="s">
        <v>74</v>
      </c>
      <c r="F956" t="s">
        <v>12695</v>
      </c>
      <c r="G956" t="s">
        <v>74</v>
      </c>
      <c r="H956" t="s">
        <v>74</v>
      </c>
      <c r="I956" t="s">
        <v>12696</v>
      </c>
      <c r="J956" t="s">
        <v>12697</v>
      </c>
      <c r="K956" t="s">
        <v>74</v>
      </c>
      <c r="L956" t="s">
        <v>74</v>
      </c>
      <c r="M956" t="s">
        <v>78</v>
      </c>
      <c r="N956" t="s">
        <v>2737</v>
      </c>
      <c r="O956" t="s">
        <v>74</v>
      </c>
      <c r="P956" t="s">
        <v>74</v>
      </c>
      <c r="Q956" t="s">
        <v>74</v>
      </c>
      <c r="R956" t="s">
        <v>74</v>
      </c>
      <c r="S956" t="s">
        <v>74</v>
      </c>
      <c r="T956" t="s">
        <v>74</v>
      </c>
      <c r="U956" t="s">
        <v>12698</v>
      </c>
      <c r="V956" t="s">
        <v>74</v>
      </c>
      <c r="W956" t="s">
        <v>12699</v>
      </c>
      <c r="X956" t="s">
        <v>12700</v>
      </c>
      <c r="Y956" t="s">
        <v>12701</v>
      </c>
      <c r="Z956" t="s">
        <v>12702</v>
      </c>
      <c r="AA956" t="s">
        <v>74</v>
      </c>
      <c r="AB956" t="s">
        <v>74</v>
      </c>
      <c r="AC956" t="s">
        <v>74</v>
      </c>
      <c r="AD956" t="s">
        <v>74</v>
      </c>
      <c r="AE956" t="s">
        <v>74</v>
      </c>
      <c r="AF956" t="s">
        <v>74</v>
      </c>
      <c r="AG956">
        <v>41</v>
      </c>
      <c r="AH956">
        <v>5</v>
      </c>
      <c r="AI956">
        <v>5</v>
      </c>
      <c r="AJ956">
        <v>0</v>
      </c>
      <c r="AK956">
        <v>5</v>
      </c>
      <c r="AL956" t="s">
        <v>4724</v>
      </c>
      <c r="AM956" t="s">
        <v>2747</v>
      </c>
      <c r="AN956" t="s">
        <v>4725</v>
      </c>
      <c r="AO956" t="s">
        <v>12703</v>
      </c>
      <c r="AP956" t="s">
        <v>12704</v>
      </c>
      <c r="AQ956" t="s">
        <v>74</v>
      </c>
      <c r="AR956" t="s">
        <v>12705</v>
      </c>
      <c r="AS956" t="s">
        <v>12706</v>
      </c>
      <c r="AT956" t="s">
        <v>11917</v>
      </c>
      <c r="AU956">
        <v>2008</v>
      </c>
      <c r="AV956">
        <v>46</v>
      </c>
      <c r="AW956">
        <v>2</v>
      </c>
      <c r="AX956" t="s">
        <v>74</v>
      </c>
      <c r="AY956" t="s">
        <v>74</v>
      </c>
      <c r="AZ956" t="s">
        <v>74</v>
      </c>
      <c r="BA956" t="s">
        <v>74</v>
      </c>
      <c r="BB956">
        <v>168</v>
      </c>
      <c r="BC956">
        <v>174</v>
      </c>
      <c r="BD956" t="s">
        <v>74</v>
      </c>
      <c r="BE956" t="s">
        <v>12707</v>
      </c>
      <c r="BF956" t="str">
        <f>HYPERLINK("http://dx.doi.org/10.1134/S0016702908020067","http://dx.doi.org/10.1134/S0016702908020067")</f>
        <v>http://dx.doi.org/10.1134/S0016702908020067</v>
      </c>
      <c r="BG956" t="s">
        <v>74</v>
      </c>
      <c r="BH956" t="s">
        <v>74</v>
      </c>
      <c r="BI956">
        <v>7</v>
      </c>
      <c r="BJ956" t="s">
        <v>98</v>
      </c>
      <c r="BK956" t="s">
        <v>419</v>
      </c>
      <c r="BL956" t="s">
        <v>98</v>
      </c>
      <c r="BM956" t="s">
        <v>12708</v>
      </c>
      <c r="BN956" t="s">
        <v>74</v>
      </c>
      <c r="BO956" t="s">
        <v>74</v>
      </c>
      <c r="BP956" t="s">
        <v>74</v>
      </c>
      <c r="BQ956" t="s">
        <v>74</v>
      </c>
      <c r="BR956" t="s">
        <v>101</v>
      </c>
      <c r="BS956" t="s">
        <v>12709</v>
      </c>
      <c r="BT956" t="str">
        <f>HYPERLINK("https%3A%2F%2Fwww.webofscience.com%2Fwos%2Fwoscc%2Ffull-record%2FWOS:000254436000006","View Full Record in Web of Science")</f>
        <v>View Full Record in Web of Science</v>
      </c>
    </row>
    <row r="957" spans="1:72" x14ac:dyDescent="0.15">
      <c r="A957" t="s">
        <v>72</v>
      </c>
      <c r="B957" t="s">
        <v>12710</v>
      </c>
      <c r="C957" t="s">
        <v>74</v>
      </c>
      <c r="D957" t="s">
        <v>74</v>
      </c>
      <c r="E957" t="s">
        <v>74</v>
      </c>
      <c r="F957" t="s">
        <v>12711</v>
      </c>
      <c r="G957" t="s">
        <v>74</v>
      </c>
      <c r="H957" t="s">
        <v>74</v>
      </c>
      <c r="I957" t="s">
        <v>12712</v>
      </c>
      <c r="J957" t="s">
        <v>12713</v>
      </c>
      <c r="K957" t="s">
        <v>74</v>
      </c>
      <c r="L957" t="s">
        <v>74</v>
      </c>
      <c r="M957" t="s">
        <v>78</v>
      </c>
      <c r="N957" t="s">
        <v>2737</v>
      </c>
      <c r="O957" t="s">
        <v>74</v>
      </c>
      <c r="P957" t="s">
        <v>74</v>
      </c>
      <c r="Q957" t="s">
        <v>74</v>
      </c>
      <c r="R957" t="s">
        <v>74</v>
      </c>
      <c r="S957" t="s">
        <v>74</v>
      </c>
      <c r="T957" t="s">
        <v>74</v>
      </c>
      <c r="U957" t="s">
        <v>12714</v>
      </c>
      <c r="V957" t="s">
        <v>12715</v>
      </c>
      <c r="W957" t="s">
        <v>12716</v>
      </c>
      <c r="X957" t="s">
        <v>285</v>
      </c>
      <c r="Y957" t="s">
        <v>12717</v>
      </c>
      <c r="Z957" t="s">
        <v>1985</v>
      </c>
      <c r="AA957" t="s">
        <v>74</v>
      </c>
      <c r="AB957" t="s">
        <v>12718</v>
      </c>
      <c r="AC957" t="s">
        <v>74</v>
      </c>
      <c r="AD957" t="s">
        <v>74</v>
      </c>
      <c r="AE957" t="s">
        <v>74</v>
      </c>
      <c r="AF957" t="s">
        <v>74</v>
      </c>
      <c r="AG957">
        <v>51</v>
      </c>
      <c r="AH957">
        <v>8</v>
      </c>
      <c r="AI957">
        <v>8</v>
      </c>
      <c r="AJ957">
        <v>0</v>
      </c>
      <c r="AK957">
        <v>3</v>
      </c>
      <c r="AL957" t="s">
        <v>3007</v>
      </c>
      <c r="AM957" t="s">
        <v>3008</v>
      </c>
      <c r="AN957" t="s">
        <v>3009</v>
      </c>
      <c r="AO957" t="s">
        <v>12719</v>
      </c>
      <c r="AP957" t="s">
        <v>12720</v>
      </c>
      <c r="AQ957" t="s">
        <v>74</v>
      </c>
      <c r="AR957" t="s">
        <v>12721</v>
      </c>
      <c r="AS957" t="s">
        <v>12722</v>
      </c>
      <c r="AT957" t="s">
        <v>12610</v>
      </c>
      <c r="AU957">
        <v>2008</v>
      </c>
      <c r="AV957">
        <v>72</v>
      </c>
      <c r="AW957">
        <v>3</v>
      </c>
      <c r="AX957" t="s">
        <v>74</v>
      </c>
      <c r="AY957" t="s">
        <v>74</v>
      </c>
      <c r="AZ957" t="s">
        <v>74</v>
      </c>
      <c r="BA957" t="s">
        <v>74</v>
      </c>
      <c r="BB957">
        <v>948</v>
      </c>
      <c r="BC957">
        <v>958</v>
      </c>
      <c r="BD957" t="s">
        <v>74</v>
      </c>
      <c r="BE957" t="s">
        <v>12723</v>
      </c>
      <c r="BF957" t="str">
        <f>HYPERLINK("http://dx.doi.org/10.1016/j.gca.2007.11.023","http://dx.doi.org/10.1016/j.gca.2007.11.023")</f>
        <v>http://dx.doi.org/10.1016/j.gca.2007.11.023</v>
      </c>
      <c r="BG957" t="s">
        <v>74</v>
      </c>
      <c r="BH957" t="s">
        <v>74</v>
      </c>
      <c r="BI957">
        <v>11</v>
      </c>
      <c r="BJ957" t="s">
        <v>98</v>
      </c>
      <c r="BK957" t="s">
        <v>419</v>
      </c>
      <c r="BL957" t="s">
        <v>98</v>
      </c>
      <c r="BM957" t="s">
        <v>12724</v>
      </c>
      <c r="BN957" t="s">
        <v>74</v>
      </c>
      <c r="BO957" t="s">
        <v>74</v>
      </c>
      <c r="BP957" t="s">
        <v>74</v>
      </c>
      <c r="BQ957" t="s">
        <v>74</v>
      </c>
      <c r="BR957" t="s">
        <v>101</v>
      </c>
      <c r="BS957" t="s">
        <v>12725</v>
      </c>
      <c r="BT957" t="str">
        <f>HYPERLINK("https%3A%2F%2Fwww.webofscience.com%2Fwos%2Fwoscc%2Ffull-record%2FWOS:000252662000016","View Full Record in Web of Science")</f>
        <v>View Full Record in Web of Science</v>
      </c>
    </row>
    <row r="958" spans="1:72" x14ac:dyDescent="0.15">
      <c r="A958" t="s">
        <v>72</v>
      </c>
      <c r="B958" t="s">
        <v>12726</v>
      </c>
      <c r="C958" t="s">
        <v>74</v>
      </c>
      <c r="D958" t="s">
        <v>74</v>
      </c>
      <c r="E958" t="s">
        <v>74</v>
      </c>
      <c r="F958" t="s">
        <v>12727</v>
      </c>
      <c r="G958" t="s">
        <v>74</v>
      </c>
      <c r="H958" t="s">
        <v>74</v>
      </c>
      <c r="I958" t="s">
        <v>12728</v>
      </c>
      <c r="J958" t="s">
        <v>10427</v>
      </c>
      <c r="K958" t="s">
        <v>74</v>
      </c>
      <c r="L958" t="s">
        <v>74</v>
      </c>
      <c r="M958" t="s">
        <v>78</v>
      </c>
      <c r="N958" t="s">
        <v>2737</v>
      </c>
      <c r="O958" t="s">
        <v>74</v>
      </c>
      <c r="P958" t="s">
        <v>74</v>
      </c>
      <c r="Q958" t="s">
        <v>74</v>
      </c>
      <c r="R958" t="s">
        <v>74</v>
      </c>
      <c r="S958" t="s">
        <v>74</v>
      </c>
      <c r="T958" t="s">
        <v>12729</v>
      </c>
      <c r="U958" t="s">
        <v>12730</v>
      </c>
      <c r="V958" t="s">
        <v>12731</v>
      </c>
      <c r="W958" t="s">
        <v>12732</v>
      </c>
      <c r="X958" t="s">
        <v>12733</v>
      </c>
      <c r="Y958" t="s">
        <v>12734</v>
      </c>
      <c r="Z958" t="s">
        <v>74</v>
      </c>
      <c r="AA958" t="s">
        <v>12735</v>
      </c>
      <c r="AB958" t="s">
        <v>12736</v>
      </c>
      <c r="AC958" t="s">
        <v>74</v>
      </c>
      <c r="AD958" t="s">
        <v>74</v>
      </c>
      <c r="AE958" t="s">
        <v>74</v>
      </c>
      <c r="AF958" t="s">
        <v>74</v>
      </c>
      <c r="AG958">
        <v>29</v>
      </c>
      <c r="AH958">
        <v>72</v>
      </c>
      <c r="AI958">
        <v>91</v>
      </c>
      <c r="AJ958">
        <v>1</v>
      </c>
      <c r="AK958">
        <v>25</v>
      </c>
      <c r="AL958" t="s">
        <v>6423</v>
      </c>
      <c r="AM958" t="s">
        <v>6005</v>
      </c>
      <c r="AN958" t="s">
        <v>6424</v>
      </c>
      <c r="AO958" t="s">
        <v>10437</v>
      </c>
      <c r="AP958" t="s">
        <v>10438</v>
      </c>
      <c r="AQ958" t="s">
        <v>74</v>
      </c>
      <c r="AR958" t="s">
        <v>10427</v>
      </c>
      <c r="AS958" t="s">
        <v>3094</v>
      </c>
      <c r="AT958" t="s">
        <v>11917</v>
      </c>
      <c r="AU958">
        <v>2008</v>
      </c>
      <c r="AV958">
        <v>36</v>
      </c>
      <c r="AW958">
        <v>2</v>
      </c>
      <c r="AX958" t="s">
        <v>74</v>
      </c>
      <c r="AY958" t="s">
        <v>74</v>
      </c>
      <c r="AZ958" t="s">
        <v>74</v>
      </c>
      <c r="BA958" t="s">
        <v>74</v>
      </c>
      <c r="BB958">
        <v>147</v>
      </c>
      <c r="BC958">
        <v>150</v>
      </c>
      <c r="BD958" t="s">
        <v>74</v>
      </c>
      <c r="BE958" t="s">
        <v>12737</v>
      </c>
      <c r="BF958" t="str">
        <f>HYPERLINK("http://dx.doi.org/10.1130/G24332A.1","http://dx.doi.org/10.1130/G24332A.1")</f>
        <v>http://dx.doi.org/10.1130/G24332A.1</v>
      </c>
      <c r="BG958" t="s">
        <v>74</v>
      </c>
      <c r="BH958" t="s">
        <v>74</v>
      </c>
      <c r="BI958">
        <v>4</v>
      </c>
      <c r="BJ958" t="s">
        <v>3094</v>
      </c>
      <c r="BK958" t="s">
        <v>419</v>
      </c>
      <c r="BL958" t="s">
        <v>3094</v>
      </c>
      <c r="BM958" t="s">
        <v>12738</v>
      </c>
      <c r="BN958" t="s">
        <v>74</v>
      </c>
      <c r="BO958" t="s">
        <v>74</v>
      </c>
      <c r="BP958" t="s">
        <v>74</v>
      </c>
      <c r="BQ958" t="s">
        <v>74</v>
      </c>
      <c r="BR958" t="s">
        <v>101</v>
      </c>
      <c r="BS958" t="s">
        <v>12739</v>
      </c>
      <c r="BT958" t="str">
        <f>HYPERLINK("https%3A%2F%2Fwww.webofscience.com%2Fwos%2Fwoscc%2Ffull-record%2FWOS:000252829600013","View Full Record in Web of Science")</f>
        <v>View Full Record in Web of Science</v>
      </c>
    </row>
    <row r="959" spans="1:72" x14ac:dyDescent="0.15">
      <c r="A959" t="s">
        <v>72</v>
      </c>
      <c r="B959" t="s">
        <v>12740</v>
      </c>
      <c r="C959" t="s">
        <v>74</v>
      </c>
      <c r="D959" t="s">
        <v>74</v>
      </c>
      <c r="E959" t="s">
        <v>74</v>
      </c>
      <c r="F959" t="s">
        <v>12741</v>
      </c>
      <c r="G959" t="s">
        <v>74</v>
      </c>
      <c r="H959" t="s">
        <v>74</v>
      </c>
      <c r="I959" t="s">
        <v>12742</v>
      </c>
      <c r="J959" t="s">
        <v>10427</v>
      </c>
      <c r="K959" t="s">
        <v>74</v>
      </c>
      <c r="L959" t="s">
        <v>74</v>
      </c>
      <c r="M959" t="s">
        <v>78</v>
      </c>
      <c r="N959" t="s">
        <v>2989</v>
      </c>
      <c r="O959" t="s">
        <v>74</v>
      </c>
      <c r="P959" t="s">
        <v>74</v>
      </c>
      <c r="Q959" t="s">
        <v>74</v>
      </c>
      <c r="R959" t="s">
        <v>74</v>
      </c>
      <c r="S959" t="s">
        <v>74</v>
      </c>
      <c r="T959" t="s">
        <v>74</v>
      </c>
      <c r="U959" t="s">
        <v>12743</v>
      </c>
      <c r="V959" t="s">
        <v>74</v>
      </c>
      <c r="W959" t="s">
        <v>12744</v>
      </c>
      <c r="X959" t="s">
        <v>12745</v>
      </c>
      <c r="Y959" t="s">
        <v>12746</v>
      </c>
      <c r="Z959" t="s">
        <v>74</v>
      </c>
      <c r="AA959" t="s">
        <v>12747</v>
      </c>
      <c r="AB959" t="s">
        <v>12748</v>
      </c>
      <c r="AC959" t="s">
        <v>74</v>
      </c>
      <c r="AD959" t="s">
        <v>74</v>
      </c>
      <c r="AE959" t="s">
        <v>74</v>
      </c>
      <c r="AF959" t="s">
        <v>74</v>
      </c>
      <c r="AG959">
        <v>26</v>
      </c>
      <c r="AH959">
        <v>17</v>
      </c>
      <c r="AI959">
        <v>24</v>
      </c>
      <c r="AJ959">
        <v>0</v>
      </c>
      <c r="AK959">
        <v>5</v>
      </c>
      <c r="AL959" t="s">
        <v>6423</v>
      </c>
      <c r="AM959" t="s">
        <v>6005</v>
      </c>
      <c r="AN959" t="s">
        <v>6424</v>
      </c>
      <c r="AO959" t="s">
        <v>10437</v>
      </c>
      <c r="AP959" t="s">
        <v>10438</v>
      </c>
      <c r="AQ959" t="s">
        <v>74</v>
      </c>
      <c r="AR959" t="s">
        <v>10427</v>
      </c>
      <c r="AS959" t="s">
        <v>3094</v>
      </c>
      <c r="AT959" t="s">
        <v>11917</v>
      </c>
      <c r="AU959">
        <v>2008</v>
      </c>
      <c r="AV959">
        <v>36</v>
      </c>
      <c r="AW959">
        <v>2</v>
      </c>
      <c r="AX959" t="s">
        <v>74</v>
      </c>
      <c r="AY959" t="s">
        <v>74</v>
      </c>
      <c r="AZ959" t="s">
        <v>74</v>
      </c>
      <c r="BA959" t="s">
        <v>74</v>
      </c>
      <c r="BB959">
        <v>191</v>
      </c>
      <c r="BC959">
        <v>192</v>
      </c>
      <c r="BD959" t="s">
        <v>74</v>
      </c>
      <c r="BE959" t="s">
        <v>12749</v>
      </c>
      <c r="BF959" t="str">
        <f>HYPERLINK("http://dx.doi.org/10.1130/focus022008.1","http://dx.doi.org/10.1130/focus022008.1")</f>
        <v>http://dx.doi.org/10.1130/focus022008.1</v>
      </c>
      <c r="BG959" t="s">
        <v>74</v>
      </c>
      <c r="BH959" t="s">
        <v>74</v>
      </c>
      <c r="BI959">
        <v>2</v>
      </c>
      <c r="BJ959" t="s">
        <v>3094</v>
      </c>
      <c r="BK959" t="s">
        <v>419</v>
      </c>
      <c r="BL959" t="s">
        <v>3094</v>
      </c>
      <c r="BM959" t="s">
        <v>12738</v>
      </c>
      <c r="BN959" t="s">
        <v>74</v>
      </c>
      <c r="BO959" t="s">
        <v>3290</v>
      </c>
      <c r="BP959" t="s">
        <v>74</v>
      </c>
      <c r="BQ959" t="s">
        <v>74</v>
      </c>
      <c r="BR959" t="s">
        <v>101</v>
      </c>
      <c r="BS959" t="s">
        <v>12750</v>
      </c>
      <c r="BT959" t="str">
        <f>HYPERLINK("https%3A%2F%2Fwww.webofscience.com%2Fwos%2Fwoscc%2Ffull-record%2FWOS:000252829600024","View Full Record in Web of Science")</f>
        <v>View Full Record in Web of Science</v>
      </c>
    </row>
    <row r="960" spans="1:72" x14ac:dyDescent="0.15">
      <c r="A960" t="s">
        <v>72</v>
      </c>
      <c r="B960" t="s">
        <v>12751</v>
      </c>
      <c r="C960" t="s">
        <v>74</v>
      </c>
      <c r="D960" t="s">
        <v>74</v>
      </c>
      <c r="E960" t="s">
        <v>74</v>
      </c>
      <c r="F960" t="s">
        <v>12752</v>
      </c>
      <c r="G960" t="s">
        <v>74</v>
      </c>
      <c r="H960" t="s">
        <v>74</v>
      </c>
      <c r="I960" t="s">
        <v>12753</v>
      </c>
      <c r="J960" t="s">
        <v>6450</v>
      </c>
      <c r="K960" t="s">
        <v>74</v>
      </c>
      <c r="L960" t="s">
        <v>74</v>
      </c>
      <c r="M960" t="s">
        <v>78</v>
      </c>
      <c r="N960" t="s">
        <v>2737</v>
      </c>
      <c r="O960" t="s">
        <v>74</v>
      </c>
      <c r="P960" t="s">
        <v>74</v>
      </c>
      <c r="Q960" t="s">
        <v>74</v>
      </c>
      <c r="R960" t="s">
        <v>74</v>
      </c>
      <c r="S960" t="s">
        <v>74</v>
      </c>
      <c r="T960" t="s">
        <v>12754</v>
      </c>
      <c r="U960" t="s">
        <v>12755</v>
      </c>
      <c r="V960" t="s">
        <v>12756</v>
      </c>
      <c r="W960" t="s">
        <v>12757</v>
      </c>
      <c r="X960" t="s">
        <v>12758</v>
      </c>
      <c r="Y960" t="s">
        <v>12759</v>
      </c>
      <c r="Z960" t="s">
        <v>12760</v>
      </c>
      <c r="AA960" t="s">
        <v>12761</v>
      </c>
      <c r="AB960" t="s">
        <v>12762</v>
      </c>
      <c r="AC960" t="s">
        <v>3372</v>
      </c>
      <c r="AD960" t="s">
        <v>2792</v>
      </c>
      <c r="AE960" t="s">
        <v>74</v>
      </c>
      <c r="AF960" t="s">
        <v>74</v>
      </c>
      <c r="AG960">
        <v>36</v>
      </c>
      <c r="AH960">
        <v>19</v>
      </c>
      <c r="AI960">
        <v>19</v>
      </c>
      <c r="AJ960">
        <v>0</v>
      </c>
      <c r="AK960">
        <v>6</v>
      </c>
      <c r="AL960" t="s">
        <v>3257</v>
      </c>
      <c r="AM960" t="s">
        <v>3258</v>
      </c>
      <c r="AN960" t="s">
        <v>3259</v>
      </c>
      <c r="AO960" t="s">
        <v>6459</v>
      </c>
      <c r="AP960" t="s">
        <v>74</v>
      </c>
      <c r="AQ960" t="s">
        <v>74</v>
      </c>
      <c r="AR960" t="s">
        <v>6450</v>
      </c>
      <c r="AS960" t="s">
        <v>6461</v>
      </c>
      <c r="AT960" t="s">
        <v>12610</v>
      </c>
      <c r="AU960">
        <v>2008</v>
      </c>
      <c r="AV960">
        <v>94</v>
      </c>
      <c r="AW960" t="s">
        <v>5676</v>
      </c>
      <c r="AX960" t="s">
        <v>74</v>
      </c>
      <c r="AY960" t="s">
        <v>74</v>
      </c>
      <c r="AZ960" t="s">
        <v>74</v>
      </c>
      <c r="BA960" t="s">
        <v>74</v>
      </c>
      <c r="BB960">
        <v>117</v>
      </c>
      <c r="BC960">
        <v>130</v>
      </c>
      <c r="BD960" t="s">
        <v>74</v>
      </c>
      <c r="BE960" t="s">
        <v>12763</v>
      </c>
      <c r="BF960" t="str">
        <f>HYPERLINK("http://dx.doi.org/10.1016/j.geomorph.2007.05.006","http://dx.doi.org/10.1016/j.geomorph.2007.05.006")</f>
        <v>http://dx.doi.org/10.1016/j.geomorph.2007.05.006</v>
      </c>
      <c r="BG960" t="s">
        <v>74</v>
      </c>
      <c r="BH960" t="s">
        <v>74</v>
      </c>
      <c r="BI960">
        <v>14</v>
      </c>
      <c r="BJ960" t="s">
        <v>3015</v>
      </c>
      <c r="BK960" t="s">
        <v>419</v>
      </c>
      <c r="BL960" t="s">
        <v>3016</v>
      </c>
      <c r="BM960" t="s">
        <v>12764</v>
      </c>
      <c r="BN960" t="s">
        <v>74</v>
      </c>
      <c r="BO960" t="s">
        <v>74</v>
      </c>
      <c r="BP960" t="s">
        <v>74</v>
      </c>
      <c r="BQ960" t="s">
        <v>74</v>
      </c>
      <c r="BR960" t="s">
        <v>101</v>
      </c>
      <c r="BS960" t="s">
        <v>12765</v>
      </c>
      <c r="BT960" t="str">
        <f>HYPERLINK("https%3A%2F%2Fwww.webofscience.com%2Fwos%2Fwoscc%2Ffull-record%2FWOS:000252829200009","View Full Record in Web of Science")</f>
        <v>View Full Record in Web of Science</v>
      </c>
    </row>
    <row r="961" spans="1:72" x14ac:dyDescent="0.15">
      <c r="A961" t="s">
        <v>72</v>
      </c>
      <c r="B961" t="s">
        <v>12766</v>
      </c>
      <c r="C961" t="s">
        <v>74</v>
      </c>
      <c r="D961" t="s">
        <v>74</v>
      </c>
      <c r="E961" t="s">
        <v>74</v>
      </c>
      <c r="F961" t="s">
        <v>12767</v>
      </c>
      <c r="G961" t="s">
        <v>74</v>
      </c>
      <c r="H961" t="s">
        <v>74</v>
      </c>
      <c r="I961" t="s">
        <v>12768</v>
      </c>
      <c r="J961" t="s">
        <v>6481</v>
      </c>
      <c r="K961" t="s">
        <v>74</v>
      </c>
      <c r="L961" t="s">
        <v>74</v>
      </c>
      <c r="M961" t="s">
        <v>78</v>
      </c>
      <c r="N961" t="s">
        <v>2737</v>
      </c>
      <c r="O961" t="s">
        <v>74</v>
      </c>
      <c r="P961" t="s">
        <v>74</v>
      </c>
      <c r="Q961" t="s">
        <v>74</v>
      </c>
      <c r="R961" t="s">
        <v>74</v>
      </c>
      <c r="S961" t="s">
        <v>74</v>
      </c>
      <c r="T961" t="s">
        <v>12769</v>
      </c>
      <c r="U961" t="s">
        <v>12770</v>
      </c>
      <c r="V961" t="s">
        <v>12771</v>
      </c>
      <c r="W961" t="s">
        <v>12772</v>
      </c>
      <c r="X961" t="s">
        <v>5671</v>
      </c>
      <c r="Y961" t="s">
        <v>12773</v>
      </c>
      <c r="Z961" t="s">
        <v>12774</v>
      </c>
      <c r="AA961" t="s">
        <v>12775</v>
      </c>
      <c r="AB961" t="s">
        <v>12776</v>
      </c>
      <c r="AC961" t="s">
        <v>74</v>
      </c>
      <c r="AD961" t="s">
        <v>74</v>
      </c>
      <c r="AE961" t="s">
        <v>74</v>
      </c>
      <c r="AF961" t="s">
        <v>74</v>
      </c>
      <c r="AG961">
        <v>32</v>
      </c>
      <c r="AH961">
        <v>28</v>
      </c>
      <c r="AI961">
        <v>34</v>
      </c>
      <c r="AJ961">
        <v>0</v>
      </c>
      <c r="AK961">
        <v>15</v>
      </c>
      <c r="AL961" t="s">
        <v>3257</v>
      </c>
      <c r="AM961" t="s">
        <v>3258</v>
      </c>
      <c r="AN961" t="s">
        <v>3259</v>
      </c>
      <c r="AO961" t="s">
        <v>6491</v>
      </c>
      <c r="AP961" t="s">
        <v>74</v>
      </c>
      <c r="AQ961" t="s">
        <v>74</v>
      </c>
      <c r="AR961" t="s">
        <v>6493</v>
      </c>
      <c r="AS961" t="s">
        <v>6494</v>
      </c>
      <c r="AT961" t="s">
        <v>11917</v>
      </c>
      <c r="AU961">
        <v>2008</v>
      </c>
      <c r="AV961">
        <v>60</v>
      </c>
      <c r="AW961" t="s">
        <v>3263</v>
      </c>
      <c r="AX961" t="s">
        <v>74</v>
      </c>
      <c r="AY961" t="s">
        <v>74</v>
      </c>
      <c r="AZ961" t="s">
        <v>74</v>
      </c>
      <c r="BA961" t="s">
        <v>74</v>
      </c>
      <c r="BB961">
        <v>416</v>
      </c>
      <c r="BC961">
        <v>428</v>
      </c>
      <c r="BD961" t="s">
        <v>74</v>
      </c>
      <c r="BE961" t="s">
        <v>12777</v>
      </c>
      <c r="BF961" t="str">
        <f>HYPERLINK("http://dx.doi.org/10.1016/j.gloplacha.2007.07.002","http://dx.doi.org/10.1016/j.gloplacha.2007.07.002")</f>
        <v>http://dx.doi.org/10.1016/j.gloplacha.2007.07.002</v>
      </c>
      <c r="BG961" t="s">
        <v>74</v>
      </c>
      <c r="BH961" t="s">
        <v>74</v>
      </c>
      <c r="BI961">
        <v>13</v>
      </c>
      <c r="BJ961" t="s">
        <v>3015</v>
      </c>
      <c r="BK961" t="s">
        <v>419</v>
      </c>
      <c r="BL961" t="s">
        <v>3016</v>
      </c>
      <c r="BM961" t="s">
        <v>12778</v>
      </c>
      <c r="BN961" t="s">
        <v>74</v>
      </c>
      <c r="BO961" t="s">
        <v>74</v>
      </c>
      <c r="BP961" t="s">
        <v>74</v>
      </c>
      <c r="BQ961" t="s">
        <v>74</v>
      </c>
      <c r="BR961" t="s">
        <v>101</v>
      </c>
      <c r="BS961" t="s">
        <v>12779</v>
      </c>
      <c r="BT961" t="str">
        <f>HYPERLINK("https%3A%2F%2Fwww.webofscience.com%2Fwos%2Fwoscc%2Ffull-record%2FWOS:000253576900015","View Full Record in Web of Science")</f>
        <v>View Full Record in Web of Science</v>
      </c>
    </row>
    <row r="962" spans="1:72" x14ac:dyDescent="0.15">
      <c r="A962" t="s">
        <v>72</v>
      </c>
      <c r="B962" t="s">
        <v>12780</v>
      </c>
      <c r="C962" t="s">
        <v>74</v>
      </c>
      <c r="D962" t="s">
        <v>74</v>
      </c>
      <c r="E962" t="s">
        <v>74</v>
      </c>
      <c r="F962" t="s">
        <v>12781</v>
      </c>
      <c r="G962" t="s">
        <v>74</v>
      </c>
      <c r="H962" t="s">
        <v>74</v>
      </c>
      <c r="I962" t="s">
        <v>12782</v>
      </c>
      <c r="J962" t="s">
        <v>6481</v>
      </c>
      <c r="K962" t="s">
        <v>74</v>
      </c>
      <c r="L962" t="s">
        <v>74</v>
      </c>
      <c r="M962" t="s">
        <v>78</v>
      </c>
      <c r="N962" t="s">
        <v>2737</v>
      </c>
      <c r="O962" t="s">
        <v>74</v>
      </c>
      <c r="P962" t="s">
        <v>74</v>
      </c>
      <c r="Q962" t="s">
        <v>74</v>
      </c>
      <c r="R962" t="s">
        <v>74</v>
      </c>
      <c r="S962" t="s">
        <v>74</v>
      </c>
      <c r="T962" t="s">
        <v>12783</v>
      </c>
      <c r="U962" t="s">
        <v>12784</v>
      </c>
      <c r="V962" t="s">
        <v>12785</v>
      </c>
      <c r="W962" t="s">
        <v>12786</v>
      </c>
      <c r="X962" t="s">
        <v>12787</v>
      </c>
      <c r="Y962" t="s">
        <v>12788</v>
      </c>
      <c r="Z962" t="s">
        <v>12789</v>
      </c>
      <c r="AA962" t="s">
        <v>12790</v>
      </c>
      <c r="AB962" t="s">
        <v>12791</v>
      </c>
      <c r="AC962" t="s">
        <v>74</v>
      </c>
      <c r="AD962" t="s">
        <v>74</v>
      </c>
      <c r="AE962" t="s">
        <v>74</v>
      </c>
      <c r="AF962" t="s">
        <v>74</v>
      </c>
      <c r="AG962">
        <v>74</v>
      </c>
      <c r="AH962">
        <v>20</v>
      </c>
      <c r="AI962">
        <v>22</v>
      </c>
      <c r="AJ962">
        <v>0</v>
      </c>
      <c r="AK962">
        <v>3</v>
      </c>
      <c r="AL962" t="s">
        <v>3933</v>
      </c>
      <c r="AM962" t="s">
        <v>3258</v>
      </c>
      <c r="AN962" t="s">
        <v>3934</v>
      </c>
      <c r="AO962" t="s">
        <v>6491</v>
      </c>
      <c r="AP962" t="s">
        <v>6492</v>
      </c>
      <c r="AQ962" t="s">
        <v>74</v>
      </c>
      <c r="AR962" t="s">
        <v>6493</v>
      </c>
      <c r="AS962" t="s">
        <v>6494</v>
      </c>
      <c r="AT962" t="s">
        <v>11917</v>
      </c>
      <c r="AU962">
        <v>2008</v>
      </c>
      <c r="AV962">
        <v>60</v>
      </c>
      <c r="AW962" t="s">
        <v>3263</v>
      </c>
      <c r="AX962" t="s">
        <v>74</v>
      </c>
      <c r="AY962" t="s">
        <v>74</v>
      </c>
      <c r="AZ962" t="s">
        <v>74</v>
      </c>
      <c r="BA962" t="s">
        <v>74</v>
      </c>
      <c r="BB962">
        <v>457</v>
      </c>
      <c r="BC962">
        <v>470</v>
      </c>
      <c r="BD962" t="s">
        <v>74</v>
      </c>
      <c r="BE962" t="s">
        <v>12792</v>
      </c>
      <c r="BF962" t="str">
        <f>HYPERLINK("http://dx.doi.org/10.1016/j.gloplacha.2007.05.004","http://dx.doi.org/10.1016/j.gloplacha.2007.05.004")</f>
        <v>http://dx.doi.org/10.1016/j.gloplacha.2007.05.004</v>
      </c>
      <c r="BG962" t="s">
        <v>74</v>
      </c>
      <c r="BH962" t="s">
        <v>74</v>
      </c>
      <c r="BI962">
        <v>14</v>
      </c>
      <c r="BJ962" t="s">
        <v>3015</v>
      </c>
      <c r="BK962" t="s">
        <v>419</v>
      </c>
      <c r="BL962" t="s">
        <v>3016</v>
      </c>
      <c r="BM962" t="s">
        <v>12778</v>
      </c>
      <c r="BN962" t="s">
        <v>74</v>
      </c>
      <c r="BO962" t="s">
        <v>74</v>
      </c>
      <c r="BP962" t="s">
        <v>74</v>
      </c>
      <c r="BQ962" t="s">
        <v>74</v>
      </c>
      <c r="BR962" t="s">
        <v>101</v>
      </c>
      <c r="BS962" t="s">
        <v>12793</v>
      </c>
      <c r="BT962" t="str">
        <f>HYPERLINK("https%3A%2F%2Fwww.webofscience.com%2Fwos%2Fwoscc%2Ffull-record%2FWOS:000253576900018","View Full Record in Web of Science")</f>
        <v>View Full Record in Web of Science</v>
      </c>
    </row>
    <row r="963" spans="1:72" x14ac:dyDescent="0.15">
      <c r="A963" t="s">
        <v>72</v>
      </c>
      <c r="B963" t="s">
        <v>12794</v>
      </c>
      <c r="C963" t="s">
        <v>74</v>
      </c>
      <c r="D963" t="s">
        <v>74</v>
      </c>
      <c r="E963" t="s">
        <v>74</v>
      </c>
      <c r="F963" t="s">
        <v>12795</v>
      </c>
      <c r="G963" t="s">
        <v>74</v>
      </c>
      <c r="H963" t="s">
        <v>74</v>
      </c>
      <c r="I963" t="s">
        <v>12796</v>
      </c>
      <c r="J963" t="s">
        <v>8640</v>
      </c>
      <c r="K963" t="s">
        <v>74</v>
      </c>
      <c r="L963" t="s">
        <v>74</v>
      </c>
      <c r="M963" t="s">
        <v>78</v>
      </c>
      <c r="N963" t="s">
        <v>2737</v>
      </c>
      <c r="O963" t="s">
        <v>74</v>
      </c>
      <c r="P963" t="s">
        <v>74</v>
      </c>
      <c r="Q963" t="s">
        <v>74</v>
      </c>
      <c r="R963" t="s">
        <v>74</v>
      </c>
      <c r="S963" t="s">
        <v>74</v>
      </c>
      <c r="T963" t="s">
        <v>12797</v>
      </c>
      <c r="U963" t="s">
        <v>12798</v>
      </c>
      <c r="V963" t="s">
        <v>12799</v>
      </c>
      <c r="W963" t="s">
        <v>12800</v>
      </c>
      <c r="X963" t="s">
        <v>12801</v>
      </c>
      <c r="Y963" t="s">
        <v>12802</v>
      </c>
      <c r="Z963" t="s">
        <v>12803</v>
      </c>
      <c r="AA963" t="s">
        <v>74</v>
      </c>
      <c r="AB963" t="s">
        <v>74</v>
      </c>
      <c r="AC963" t="s">
        <v>74</v>
      </c>
      <c r="AD963" t="s">
        <v>74</v>
      </c>
      <c r="AE963" t="s">
        <v>74</v>
      </c>
      <c r="AF963" t="s">
        <v>74</v>
      </c>
      <c r="AG963">
        <v>49</v>
      </c>
      <c r="AH963">
        <v>25</v>
      </c>
      <c r="AI963">
        <v>26</v>
      </c>
      <c r="AJ963">
        <v>0</v>
      </c>
      <c r="AK963">
        <v>10</v>
      </c>
      <c r="AL963" t="s">
        <v>88</v>
      </c>
      <c r="AM963" t="s">
        <v>89</v>
      </c>
      <c r="AN963" t="s">
        <v>90</v>
      </c>
      <c r="AO963" t="s">
        <v>8650</v>
      </c>
      <c r="AP963" t="s">
        <v>8651</v>
      </c>
      <c r="AQ963" t="s">
        <v>74</v>
      </c>
      <c r="AR963" t="s">
        <v>8652</v>
      </c>
      <c r="AS963" t="s">
        <v>8653</v>
      </c>
      <c r="AT963" t="s">
        <v>11917</v>
      </c>
      <c r="AU963">
        <v>2008</v>
      </c>
      <c r="AV963">
        <v>14</v>
      </c>
      <c r="AW963">
        <v>2</v>
      </c>
      <c r="AX963" t="s">
        <v>74</v>
      </c>
      <c r="AY963" t="s">
        <v>74</v>
      </c>
      <c r="AZ963" t="s">
        <v>74</v>
      </c>
      <c r="BA963" t="s">
        <v>74</v>
      </c>
      <c r="BB963">
        <v>321</v>
      </c>
      <c r="BC963">
        <v>333</v>
      </c>
      <c r="BD963" t="s">
        <v>74</v>
      </c>
      <c r="BE963" t="s">
        <v>12804</v>
      </c>
      <c r="BF963" t="str">
        <f>HYPERLINK("http://dx.doi.org/10.1111/j.1365-2486.2007.01489.x","http://dx.doi.org/10.1111/j.1365-2486.2007.01489.x")</f>
        <v>http://dx.doi.org/10.1111/j.1365-2486.2007.01489.x</v>
      </c>
      <c r="BG963" t="s">
        <v>74</v>
      </c>
      <c r="BH963" t="s">
        <v>74</v>
      </c>
      <c r="BI963">
        <v>13</v>
      </c>
      <c r="BJ963" t="s">
        <v>6213</v>
      </c>
      <c r="BK963" t="s">
        <v>419</v>
      </c>
      <c r="BL963" t="s">
        <v>2896</v>
      </c>
      <c r="BM963" t="s">
        <v>12805</v>
      </c>
      <c r="BN963" t="s">
        <v>74</v>
      </c>
      <c r="BO963" t="s">
        <v>74</v>
      </c>
      <c r="BP963" t="s">
        <v>74</v>
      </c>
      <c r="BQ963" t="s">
        <v>74</v>
      </c>
      <c r="BR963" t="s">
        <v>101</v>
      </c>
      <c r="BS963" t="s">
        <v>12806</v>
      </c>
      <c r="BT963" t="str">
        <f>HYPERLINK("https%3A%2F%2Fwww.webofscience.com%2Fwos%2Fwoscc%2Ffull-record%2FWOS:000253313400011","View Full Record in Web of Science")</f>
        <v>View Full Record in Web of Science</v>
      </c>
    </row>
    <row r="964" spans="1:72" x14ac:dyDescent="0.15">
      <c r="A964" t="s">
        <v>72</v>
      </c>
      <c r="B964" t="s">
        <v>12807</v>
      </c>
      <c r="C964" t="s">
        <v>74</v>
      </c>
      <c r="D964" t="s">
        <v>74</v>
      </c>
      <c r="E964" t="s">
        <v>74</v>
      </c>
      <c r="F964" t="s">
        <v>12808</v>
      </c>
      <c r="G964" t="s">
        <v>74</v>
      </c>
      <c r="H964" t="s">
        <v>74</v>
      </c>
      <c r="I964" t="s">
        <v>12809</v>
      </c>
      <c r="J964" t="s">
        <v>4820</v>
      </c>
      <c r="K964" t="s">
        <v>74</v>
      </c>
      <c r="L964" t="s">
        <v>74</v>
      </c>
      <c r="M964" t="s">
        <v>78</v>
      </c>
      <c r="N964" t="s">
        <v>2737</v>
      </c>
      <c r="O964" t="s">
        <v>74</v>
      </c>
      <c r="P964" t="s">
        <v>74</v>
      </c>
      <c r="Q964" t="s">
        <v>74</v>
      </c>
      <c r="R964" t="s">
        <v>74</v>
      </c>
      <c r="S964" t="s">
        <v>74</v>
      </c>
      <c r="T964" t="s">
        <v>74</v>
      </c>
      <c r="U964" t="s">
        <v>12810</v>
      </c>
      <c r="V964" t="s">
        <v>12811</v>
      </c>
      <c r="W964" t="s">
        <v>12812</v>
      </c>
      <c r="X964" t="s">
        <v>12813</v>
      </c>
      <c r="Y964" t="s">
        <v>12814</v>
      </c>
      <c r="Z964" t="s">
        <v>12815</v>
      </c>
      <c r="AA964" t="s">
        <v>12816</v>
      </c>
      <c r="AB964" t="s">
        <v>12817</v>
      </c>
      <c r="AC964" t="s">
        <v>74</v>
      </c>
      <c r="AD964" t="s">
        <v>74</v>
      </c>
      <c r="AE964" t="s">
        <v>74</v>
      </c>
      <c r="AF964" t="s">
        <v>74</v>
      </c>
      <c r="AG964">
        <v>16</v>
      </c>
      <c r="AH964">
        <v>8</v>
      </c>
      <c r="AI964">
        <v>8</v>
      </c>
      <c r="AJ964">
        <v>0</v>
      </c>
      <c r="AK964">
        <v>1</v>
      </c>
      <c r="AL964" t="s">
        <v>12818</v>
      </c>
      <c r="AM964" t="s">
        <v>3550</v>
      </c>
      <c r="AN964" t="s">
        <v>12819</v>
      </c>
      <c r="AO964" t="s">
        <v>4832</v>
      </c>
      <c r="AP964" t="s">
        <v>12820</v>
      </c>
      <c r="AQ964" t="s">
        <v>74</v>
      </c>
      <c r="AR964" t="s">
        <v>4833</v>
      </c>
      <c r="AS964" t="s">
        <v>4834</v>
      </c>
      <c r="AT964" t="s">
        <v>11917</v>
      </c>
      <c r="AU964">
        <v>2008</v>
      </c>
      <c r="AV964">
        <v>58</v>
      </c>
      <c r="AW964" t="s">
        <v>74</v>
      </c>
      <c r="AX964">
        <v>2</v>
      </c>
      <c r="AY964" t="s">
        <v>74</v>
      </c>
      <c r="AZ964" t="s">
        <v>74</v>
      </c>
      <c r="BA964" t="s">
        <v>74</v>
      </c>
      <c r="BB964">
        <v>353</v>
      </c>
      <c r="BC964">
        <v>356</v>
      </c>
      <c r="BD964" t="s">
        <v>74</v>
      </c>
      <c r="BE964" t="s">
        <v>12821</v>
      </c>
      <c r="BF964" t="str">
        <f>HYPERLINK("http://dx.doi.org/10.1099/ijs.0.65389-0","http://dx.doi.org/10.1099/ijs.0.65389-0")</f>
        <v>http://dx.doi.org/10.1099/ijs.0.65389-0</v>
      </c>
      <c r="BG964" t="s">
        <v>74</v>
      </c>
      <c r="BH964" t="s">
        <v>74</v>
      </c>
      <c r="BI964">
        <v>4</v>
      </c>
      <c r="BJ964" t="s">
        <v>4689</v>
      </c>
      <c r="BK964" t="s">
        <v>419</v>
      </c>
      <c r="BL964" t="s">
        <v>4689</v>
      </c>
      <c r="BM964" t="s">
        <v>12822</v>
      </c>
      <c r="BN964">
        <v>18218930</v>
      </c>
      <c r="BO964" t="s">
        <v>3290</v>
      </c>
      <c r="BP964" t="s">
        <v>74</v>
      </c>
      <c r="BQ964" t="s">
        <v>74</v>
      </c>
      <c r="BR964" t="s">
        <v>101</v>
      </c>
      <c r="BS964" t="s">
        <v>12823</v>
      </c>
      <c r="BT964" t="str">
        <f>HYPERLINK("https%3A%2F%2Fwww.webofscience.com%2Fwos%2Fwoscc%2Ffull-record%2FWOS:000253563800007","View Full Record in Web of Science")</f>
        <v>View Full Record in Web of Science</v>
      </c>
    </row>
    <row r="965" spans="1:72" x14ac:dyDescent="0.15">
      <c r="A965" t="s">
        <v>72</v>
      </c>
      <c r="B965" t="s">
        <v>12824</v>
      </c>
      <c r="C965" t="s">
        <v>74</v>
      </c>
      <c r="D965" t="s">
        <v>74</v>
      </c>
      <c r="E965" t="s">
        <v>74</v>
      </c>
      <c r="F965" t="s">
        <v>12825</v>
      </c>
      <c r="G965" t="s">
        <v>74</v>
      </c>
      <c r="H965" t="s">
        <v>74</v>
      </c>
      <c r="I965" t="s">
        <v>12826</v>
      </c>
      <c r="J965" t="s">
        <v>12827</v>
      </c>
      <c r="K965" t="s">
        <v>74</v>
      </c>
      <c r="L965" t="s">
        <v>74</v>
      </c>
      <c r="M965" t="s">
        <v>78</v>
      </c>
      <c r="N965" t="s">
        <v>2737</v>
      </c>
      <c r="O965" t="s">
        <v>74</v>
      </c>
      <c r="P965" t="s">
        <v>74</v>
      </c>
      <c r="Q965" t="s">
        <v>74</v>
      </c>
      <c r="R965" t="s">
        <v>74</v>
      </c>
      <c r="S965" t="s">
        <v>74</v>
      </c>
      <c r="T965" t="s">
        <v>74</v>
      </c>
      <c r="U965" t="s">
        <v>12828</v>
      </c>
      <c r="V965" t="s">
        <v>12829</v>
      </c>
      <c r="W965" t="s">
        <v>12830</v>
      </c>
      <c r="X965" t="s">
        <v>12831</v>
      </c>
      <c r="Y965" t="s">
        <v>12832</v>
      </c>
      <c r="Z965" t="s">
        <v>12833</v>
      </c>
      <c r="AA965" t="s">
        <v>12834</v>
      </c>
      <c r="AB965" t="s">
        <v>12835</v>
      </c>
      <c r="AC965" t="s">
        <v>74</v>
      </c>
      <c r="AD965" t="s">
        <v>74</v>
      </c>
      <c r="AE965" t="s">
        <v>74</v>
      </c>
      <c r="AF965" t="s">
        <v>74</v>
      </c>
      <c r="AG965">
        <v>47</v>
      </c>
      <c r="AH965">
        <v>7</v>
      </c>
      <c r="AI965">
        <v>7</v>
      </c>
      <c r="AJ965">
        <v>0</v>
      </c>
      <c r="AK965">
        <v>2</v>
      </c>
      <c r="AL965" t="s">
        <v>3716</v>
      </c>
      <c r="AM965" t="s">
        <v>3717</v>
      </c>
      <c r="AN965" t="s">
        <v>3738</v>
      </c>
      <c r="AO965" t="s">
        <v>12836</v>
      </c>
      <c r="AP965" t="s">
        <v>12837</v>
      </c>
      <c r="AQ965" t="s">
        <v>74</v>
      </c>
      <c r="AR965" t="s">
        <v>12838</v>
      </c>
      <c r="AS965" t="s">
        <v>12839</v>
      </c>
      <c r="AT965" t="s">
        <v>11917</v>
      </c>
      <c r="AU965">
        <v>2008</v>
      </c>
      <c r="AV965">
        <v>25</v>
      </c>
      <c r="AW965">
        <v>2</v>
      </c>
      <c r="AX965" t="s">
        <v>74</v>
      </c>
      <c r="AY965" t="s">
        <v>74</v>
      </c>
      <c r="AZ965" t="s">
        <v>74</v>
      </c>
      <c r="BA965" t="s">
        <v>74</v>
      </c>
      <c r="BB965">
        <v>213</v>
      </c>
      <c r="BC965">
        <v>229</v>
      </c>
      <c r="BD965" t="s">
        <v>74</v>
      </c>
      <c r="BE965" t="s">
        <v>12840</v>
      </c>
      <c r="BF965" t="str">
        <f>HYPERLINK("http://dx.doi.org/10.1175/2007JTECHA952.1","http://dx.doi.org/10.1175/2007JTECHA952.1")</f>
        <v>http://dx.doi.org/10.1175/2007JTECHA952.1</v>
      </c>
      <c r="BG965" t="s">
        <v>74</v>
      </c>
      <c r="BH965" t="s">
        <v>74</v>
      </c>
      <c r="BI965">
        <v>17</v>
      </c>
      <c r="BJ965" t="s">
        <v>12841</v>
      </c>
      <c r="BK965" t="s">
        <v>419</v>
      </c>
      <c r="BL965" t="s">
        <v>12842</v>
      </c>
      <c r="BM965" t="s">
        <v>12843</v>
      </c>
      <c r="BN965" t="s">
        <v>74</v>
      </c>
      <c r="BO965" t="s">
        <v>10733</v>
      </c>
      <c r="BP965" t="s">
        <v>74</v>
      </c>
      <c r="BQ965" t="s">
        <v>74</v>
      </c>
      <c r="BR965" t="s">
        <v>101</v>
      </c>
      <c r="BS965" t="s">
        <v>12844</v>
      </c>
      <c r="BT965" t="str">
        <f>HYPERLINK("https%3A%2F%2Fwww.webofscience.com%2Fwos%2Fwoscc%2Ffull-record%2FWOS:000253582700005","View Full Record in Web of Science")</f>
        <v>View Full Record in Web of Science</v>
      </c>
    </row>
    <row r="966" spans="1:72" x14ac:dyDescent="0.15">
      <c r="A966" t="s">
        <v>72</v>
      </c>
      <c r="B966" t="s">
        <v>12845</v>
      </c>
      <c r="C966" t="s">
        <v>74</v>
      </c>
      <c r="D966" t="s">
        <v>74</v>
      </c>
      <c r="E966" t="s">
        <v>74</v>
      </c>
      <c r="F966" t="s">
        <v>12846</v>
      </c>
      <c r="G966" t="s">
        <v>74</v>
      </c>
      <c r="H966" t="s">
        <v>74</v>
      </c>
      <c r="I966" t="s">
        <v>12847</v>
      </c>
      <c r="J966" t="s">
        <v>12827</v>
      </c>
      <c r="K966" t="s">
        <v>74</v>
      </c>
      <c r="L966" t="s">
        <v>74</v>
      </c>
      <c r="M966" t="s">
        <v>78</v>
      </c>
      <c r="N966" t="s">
        <v>2737</v>
      </c>
      <c r="O966" t="s">
        <v>74</v>
      </c>
      <c r="P966" t="s">
        <v>74</v>
      </c>
      <c r="Q966" t="s">
        <v>74</v>
      </c>
      <c r="R966" t="s">
        <v>74</v>
      </c>
      <c r="S966" t="s">
        <v>74</v>
      </c>
      <c r="T966" t="s">
        <v>74</v>
      </c>
      <c r="U966" t="s">
        <v>12848</v>
      </c>
      <c r="V966" t="s">
        <v>12849</v>
      </c>
      <c r="W966" t="s">
        <v>12850</v>
      </c>
      <c r="X966" t="s">
        <v>12851</v>
      </c>
      <c r="Y966" t="s">
        <v>12852</v>
      </c>
      <c r="Z966" t="s">
        <v>12853</v>
      </c>
      <c r="AA966" t="s">
        <v>74</v>
      </c>
      <c r="AB966" t="s">
        <v>12854</v>
      </c>
      <c r="AC966" t="s">
        <v>74</v>
      </c>
      <c r="AD966" t="s">
        <v>74</v>
      </c>
      <c r="AE966" t="s">
        <v>74</v>
      </c>
      <c r="AF966" t="s">
        <v>74</v>
      </c>
      <c r="AG966">
        <v>25</v>
      </c>
      <c r="AH966">
        <v>2</v>
      </c>
      <c r="AI966">
        <v>2</v>
      </c>
      <c r="AJ966">
        <v>0</v>
      </c>
      <c r="AK966">
        <v>1</v>
      </c>
      <c r="AL966" t="s">
        <v>3716</v>
      </c>
      <c r="AM966" t="s">
        <v>3717</v>
      </c>
      <c r="AN966" t="s">
        <v>3738</v>
      </c>
      <c r="AO966" t="s">
        <v>12836</v>
      </c>
      <c r="AP966" t="s">
        <v>12837</v>
      </c>
      <c r="AQ966" t="s">
        <v>74</v>
      </c>
      <c r="AR966" t="s">
        <v>12838</v>
      </c>
      <c r="AS966" t="s">
        <v>12839</v>
      </c>
      <c r="AT966" t="s">
        <v>11917</v>
      </c>
      <c r="AU966">
        <v>2008</v>
      </c>
      <c r="AV966">
        <v>25</v>
      </c>
      <c r="AW966">
        <v>2</v>
      </c>
      <c r="AX966" t="s">
        <v>74</v>
      </c>
      <c r="AY966" t="s">
        <v>74</v>
      </c>
      <c r="AZ966" t="s">
        <v>74</v>
      </c>
      <c r="BA966" t="s">
        <v>74</v>
      </c>
      <c r="BB966">
        <v>258</v>
      </c>
      <c r="BC966">
        <v>270</v>
      </c>
      <c r="BD966" t="s">
        <v>74</v>
      </c>
      <c r="BE966" t="s">
        <v>12855</v>
      </c>
      <c r="BF966" t="str">
        <f>HYPERLINK("http://dx.doi.org/10.1175/2007JTECHA991.1","http://dx.doi.org/10.1175/2007JTECHA991.1")</f>
        <v>http://dx.doi.org/10.1175/2007JTECHA991.1</v>
      </c>
      <c r="BG966" t="s">
        <v>74</v>
      </c>
      <c r="BH966" t="s">
        <v>74</v>
      </c>
      <c r="BI966">
        <v>13</v>
      </c>
      <c r="BJ966" t="s">
        <v>12841</v>
      </c>
      <c r="BK966" t="s">
        <v>419</v>
      </c>
      <c r="BL966" t="s">
        <v>12842</v>
      </c>
      <c r="BM966" t="s">
        <v>12843</v>
      </c>
      <c r="BN966" t="s">
        <v>74</v>
      </c>
      <c r="BO966" t="s">
        <v>6104</v>
      </c>
      <c r="BP966" t="s">
        <v>74</v>
      </c>
      <c r="BQ966" t="s">
        <v>74</v>
      </c>
      <c r="BR966" t="s">
        <v>101</v>
      </c>
      <c r="BS966" t="s">
        <v>12856</v>
      </c>
      <c r="BT966" t="str">
        <f>HYPERLINK("https%3A%2F%2Fwww.webofscience.com%2Fwos%2Fwoscc%2Ffull-record%2FWOS:000253582700008","View Full Record in Web of Science")</f>
        <v>View Full Record in Web of Science</v>
      </c>
    </row>
    <row r="967" spans="1:72" x14ac:dyDescent="0.15">
      <c r="A967" t="s">
        <v>72</v>
      </c>
      <c r="B967" t="s">
        <v>12857</v>
      </c>
      <c r="C967" t="s">
        <v>74</v>
      </c>
      <c r="D967" t="s">
        <v>74</v>
      </c>
      <c r="E967" t="s">
        <v>74</v>
      </c>
      <c r="F967" t="s">
        <v>12858</v>
      </c>
      <c r="G967" t="s">
        <v>74</v>
      </c>
      <c r="H967" t="s">
        <v>74</v>
      </c>
      <c r="I967" t="s">
        <v>12859</v>
      </c>
      <c r="J967" t="s">
        <v>6556</v>
      </c>
      <c r="K967" t="s">
        <v>74</v>
      </c>
      <c r="L967" t="s">
        <v>74</v>
      </c>
      <c r="M967" t="s">
        <v>78</v>
      </c>
      <c r="N967" t="s">
        <v>3318</v>
      </c>
      <c r="O967" t="s">
        <v>12860</v>
      </c>
      <c r="P967" t="s">
        <v>12861</v>
      </c>
      <c r="Q967" t="s">
        <v>12862</v>
      </c>
      <c r="R967" t="s">
        <v>74</v>
      </c>
      <c r="S967" t="s">
        <v>74</v>
      </c>
      <c r="T967" t="s">
        <v>12863</v>
      </c>
      <c r="U967" t="s">
        <v>74</v>
      </c>
      <c r="V967" t="s">
        <v>12864</v>
      </c>
      <c r="W967" t="s">
        <v>12865</v>
      </c>
      <c r="X967" t="s">
        <v>12866</v>
      </c>
      <c r="Y967" t="s">
        <v>12867</v>
      </c>
      <c r="Z967" t="s">
        <v>12868</v>
      </c>
      <c r="AA967" t="s">
        <v>12869</v>
      </c>
      <c r="AB967" t="s">
        <v>12870</v>
      </c>
      <c r="AC967" t="s">
        <v>74</v>
      </c>
      <c r="AD967" t="s">
        <v>74</v>
      </c>
      <c r="AE967" t="s">
        <v>74</v>
      </c>
      <c r="AF967" t="s">
        <v>74</v>
      </c>
      <c r="AG967">
        <v>14</v>
      </c>
      <c r="AH967">
        <v>2</v>
      </c>
      <c r="AI967">
        <v>2</v>
      </c>
      <c r="AJ967">
        <v>0</v>
      </c>
      <c r="AK967">
        <v>4</v>
      </c>
      <c r="AL967" t="s">
        <v>3007</v>
      </c>
      <c r="AM967" t="s">
        <v>3008</v>
      </c>
      <c r="AN967" t="s">
        <v>3009</v>
      </c>
      <c r="AO967" t="s">
        <v>6562</v>
      </c>
      <c r="AP967" t="s">
        <v>6563</v>
      </c>
      <c r="AQ967" t="s">
        <v>74</v>
      </c>
      <c r="AR967" t="s">
        <v>6564</v>
      </c>
      <c r="AS967" t="s">
        <v>6565</v>
      </c>
      <c r="AT967" t="s">
        <v>11917</v>
      </c>
      <c r="AU967">
        <v>2008</v>
      </c>
      <c r="AV967">
        <v>70</v>
      </c>
      <c r="AW967" t="s">
        <v>12871</v>
      </c>
      <c r="AX967" t="s">
        <v>74</v>
      </c>
      <c r="AY967" t="s">
        <v>74</v>
      </c>
      <c r="AZ967" t="s">
        <v>74</v>
      </c>
      <c r="BA967" t="s">
        <v>74</v>
      </c>
      <c r="BB967">
        <v>637</v>
      </c>
      <c r="BC967">
        <v>645</v>
      </c>
      <c r="BD967" t="s">
        <v>74</v>
      </c>
      <c r="BE967" t="s">
        <v>12872</v>
      </c>
      <c r="BF967" t="str">
        <f>HYPERLINK("http://dx.doi.org/10.1016/j.jastp.2007.08.047","http://dx.doi.org/10.1016/j.jastp.2007.08.047")</f>
        <v>http://dx.doi.org/10.1016/j.jastp.2007.08.047</v>
      </c>
      <c r="BG967" t="s">
        <v>74</v>
      </c>
      <c r="BH967" t="s">
        <v>74</v>
      </c>
      <c r="BI967">
        <v>9</v>
      </c>
      <c r="BJ967" t="s">
        <v>6567</v>
      </c>
      <c r="BK967" t="s">
        <v>99</v>
      </c>
      <c r="BL967" t="s">
        <v>6567</v>
      </c>
      <c r="BM967" t="s">
        <v>12873</v>
      </c>
      <c r="BN967" t="s">
        <v>74</v>
      </c>
      <c r="BO967" t="s">
        <v>74</v>
      </c>
      <c r="BP967" t="s">
        <v>74</v>
      </c>
      <c r="BQ967" t="s">
        <v>74</v>
      </c>
      <c r="BR967" t="s">
        <v>101</v>
      </c>
      <c r="BS967" t="s">
        <v>12874</v>
      </c>
      <c r="BT967" t="str">
        <f>HYPERLINK("https%3A%2F%2Fwww.webofscience.com%2Fwos%2Fwoscc%2Ffull-record%2FWOS:000254137200057","View Full Record in Web of Science")</f>
        <v>View Full Record in Web of Science</v>
      </c>
    </row>
    <row r="968" spans="1:72" x14ac:dyDescent="0.15">
      <c r="A968" t="s">
        <v>72</v>
      </c>
      <c r="B968" t="s">
        <v>12875</v>
      </c>
      <c r="C968" t="s">
        <v>74</v>
      </c>
      <c r="D968" t="s">
        <v>74</v>
      </c>
      <c r="E968" t="s">
        <v>74</v>
      </c>
      <c r="F968" t="s">
        <v>12876</v>
      </c>
      <c r="G968" t="s">
        <v>74</v>
      </c>
      <c r="H968" t="s">
        <v>74</v>
      </c>
      <c r="I968" t="s">
        <v>12877</v>
      </c>
      <c r="J968" t="s">
        <v>12878</v>
      </c>
      <c r="K968" t="s">
        <v>74</v>
      </c>
      <c r="L968" t="s">
        <v>74</v>
      </c>
      <c r="M968" t="s">
        <v>78</v>
      </c>
      <c r="N968" t="s">
        <v>2737</v>
      </c>
      <c r="O968" t="s">
        <v>74</v>
      </c>
      <c r="P968" t="s">
        <v>74</v>
      </c>
      <c r="Q968" t="s">
        <v>74</v>
      </c>
      <c r="R968" t="s">
        <v>74</v>
      </c>
      <c r="S968" t="s">
        <v>74</v>
      </c>
      <c r="T968" t="s">
        <v>12879</v>
      </c>
      <c r="U968" t="s">
        <v>12880</v>
      </c>
      <c r="V968" t="s">
        <v>12881</v>
      </c>
      <c r="W968" t="s">
        <v>12882</v>
      </c>
      <c r="X968" t="s">
        <v>8517</v>
      </c>
      <c r="Y968" t="s">
        <v>8518</v>
      </c>
      <c r="Z968" t="s">
        <v>8519</v>
      </c>
      <c r="AA968" t="s">
        <v>74</v>
      </c>
      <c r="AB968" t="s">
        <v>74</v>
      </c>
      <c r="AC968" t="s">
        <v>74</v>
      </c>
      <c r="AD968" t="s">
        <v>74</v>
      </c>
      <c r="AE968" t="s">
        <v>74</v>
      </c>
      <c r="AF968" t="s">
        <v>74</v>
      </c>
      <c r="AG968">
        <v>50</v>
      </c>
      <c r="AH968">
        <v>13</v>
      </c>
      <c r="AI968">
        <v>13</v>
      </c>
      <c r="AJ968">
        <v>0</v>
      </c>
      <c r="AK968">
        <v>5</v>
      </c>
      <c r="AL968" t="s">
        <v>88</v>
      </c>
      <c r="AM968" t="s">
        <v>89</v>
      </c>
      <c r="AN968" t="s">
        <v>90</v>
      </c>
      <c r="AO968" t="s">
        <v>12883</v>
      </c>
      <c r="AP968" t="s">
        <v>12884</v>
      </c>
      <c r="AQ968" t="s">
        <v>74</v>
      </c>
      <c r="AR968" t="s">
        <v>12885</v>
      </c>
      <c r="AS968" t="s">
        <v>12886</v>
      </c>
      <c r="AT968" t="s">
        <v>11917</v>
      </c>
      <c r="AU968">
        <v>2008</v>
      </c>
      <c r="AV968">
        <v>48</v>
      </c>
      <c r="AW968">
        <v>1</v>
      </c>
      <c r="AX968" t="s">
        <v>74</v>
      </c>
      <c r="AY968" t="s">
        <v>74</v>
      </c>
      <c r="AZ968" t="s">
        <v>74</v>
      </c>
      <c r="BA968" t="s">
        <v>74</v>
      </c>
      <c r="BB968">
        <v>38</v>
      </c>
      <c r="BC968">
        <v>47</v>
      </c>
      <c r="BD968" t="s">
        <v>74</v>
      </c>
      <c r="BE968" t="s">
        <v>12887</v>
      </c>
      <c r="BF968" t="str">
        <f>HYPERLINK("http://dx.doi.org/10.1002/jobm.200700185","http://dx.doi.org/10.1002/jobm.200700185")</f>
        <v>http://dx.doi.org/10.1002/jobm.200700185</v>
      </c>
      <c r="BG968" t="s">
        <v>74</v>
      </c>
      <c r="BH968" t="s">
        <v>74</v>
      </c>
      <c r="BI968">
        <v>10</v>
      </c>
      <c r="BJ968" t="s">
        <v>4689</v>
      </c>
      <c r="BK968" t="s">
        <v>419</v>
      </c>
      <c r="BL968" t="s">
        <v>4689</v>
      </c>
      <c r="BM968" t="s">
        <v>12888</v>
      </c>
      <c r="BN968">
        <v>18247394</v>
      </c>
      <c r="BO968" t="s">
        <v>74</v>
      </c>
      <c r="BP968" t="s">
        <v>74</v>
      </c>
      <c r="BQ968" t="s">
        <v>74</v>
      </c>
      <c r="BR968" t="s">
        <v>101</v>
      </c>
      <c r="BS968" t="s">
        <v>12889</v>
      </c>
      <c r="BT968" t="str">
        <f>HYPERLINK("https%3A%2F%2Fwww.webofscience.com%2Fwos%2Fwoscc%2Ffull-record%2FWOS:000253434800006","View Full Record in Web of Science")</f>
        <v>View Full Record in Web of Science</v>
      </c>
    </row>
    <row r="969" spans="1:72" x14ac:dyDescent="0.15">
      <c r="A969" t="s">
        <v>72</v>
      </c>
      <c r="B969" t="s">
        <v>12890</v>
      </c>
      <c r="C969" t="s">
        <v>74</v>
      </c>
      <c r="D969" t="s">
        <v>74</v>
      </c>
      <c r="E969" t="s">
        <v>74</v>
      </c>
      <c r="F969" t="s">
        <v>12891</v>
      </c>
      <c r="G969" t="s">
        <v>74</v>
      </c>
      <c r="H969" t="s">
        <v>74</v>
      </c>
      <c r="I969" t="s">
        <v>12892</v>
      </c>
      <c r="J969" t="s">
        <v>12893</v>
      </c>
      <c r="K969" t="s">
        <v>74</v>
      </c>
      <c r="L969" t="s">
        <v>74</v>
      </c>
      <c r="M969" t="s">
        <v>78</v>
      </c>
      <c r="N969" t="s">
        <v>2737</v>
      </c>
      <c r="O969" t="s">
        <v>74</v>
      </c>
      <c r="P969" t="s">
        <v>74</v>
      </c>
      <c r="Q969" t="s">
        <v>74</v>
      </c>
      <c r="R969" t="s">
        <v>74</v>
      </c>
      <c r="S969" t="s">
        <v>74</v>
      </c>
      <c r="T969" t="s">
        <v>12894</v>
      </c>
      <c r="U969" t="s">
        <v>12895</v>
      </c>
      <c r="V969" t="s">
        <v>12896</v>
      </c>
      <c r="W969" t="s">
        <v>12897</v>
      </c>
      <c r="X969" t="s">
        <v>12898</v>
      </c>
      <c r="Y969" t="s">
        <v>12899</v>
      </c>
      <c r="Z969" t="s">
        <v>12900</v>
      </c>
      <c r="AA969" t="s">
        <v>12901</v>
      </c>
      <c r="AB969" t="s">
        <v>74</v>
      </c>
      <c r="AC969" t="s">
        <v>2791</v>
      </c>
      <c r="AD969" t="s">
        <v>2792</v>
      </c>
      <c r="AE969" t="s">
        <v>74</v>
      </c>
      <c r="AF969" t="s">
        <v>74</v>
      </c>
      <c r="AG969">
        <v>62</v>
      </c>
      <c r="AH969">
        <v>31</v>
      </c>
      <c r="AI969">
        <v>31</v>
      </c>
      <c r="AJ969">
        <v>0</v>
      </c>
      <c r="AK969">
        <v>17</v>
      </c>
      <c r="AL969" t="s">
        <v>88</v>
      </c>
      <c r="AM969" t="s">
        <v>89</v>
      </c>
      <c r="AN969" t="s">
        <v>90</v>
      </c>
      <c r="AO969" t="s">
        <v>12902</v>
      </c>
      <c r="AP969" t="s">
        <v>12903</v>
      </c>
      <c r="AQ969" t="s">
        <v>74</v>
      </c>
      <c r="AR969" t="s">
        <v>12904</v>
      </c>
      <c r="AS969" t="s">
        <v>12905</v>
      </c>
      <c r="AT969" t="s">
        <v>11917</v>
      </c>
      <c r="AU969">
        <v>2008</v>
      </c>
      <c r="AV969">
        <v>35</v>
      </c>
      <c r="AW969">
        <v>2</v>
      </c>
      <c r="AX969" t="s">
        <v>74</v>
      </c>
      <c r="AY969" t="s">
        <v>74</v>
      </c>
      <c r="AZ969" t="s">
        <v>74</v>
      </c>
      <c r="BA969" t="s">
        <v>74</v>
      </c>
      <c r="BB969">
        <v>365</v>
      </c>
      <c r="BC969">
        <v>376</v>
      </c>
      <c r="BD969" t="s">
        <v>74</v>
      </c>
      <c r="BE969" t="s">
        <v>12906</v>
      </c>
      <c r="BF969" t="str">
        <f>HYPERLINK("http://dx.doi.org/10.1111/j.1365-2699.2007.01784.x","http://dx.doi.org/10.1111/j.1365-2699.2007.01784.x")</f>
        <v>http://dx.doi.org/10.1111/j.1365-2699.2007.01784.x</v>
      </c>
      <c r="BG969" t="s">
        <v>74</v>
      </c>
      <c r="BH969" t="s">
        <v>74</v>
      </c>
      <c r="BI969">
        <v>12</v>
      </c>
      <c r="BJ969" t="s">
        <v>6530</v>
      </c>
      <c r="BK969" t="s">
        <v>419</v>
      </c>
      <c r="BL969" t="s">
        <v>5992</v>
      </c>
      <c r="BM969" t="s">
        <v>12907</v>
      </c>
      <c r="BN969" t="s">
        <v>74</v>
      </c>
      <c r="BO969" t="s">
        <v>3290</v>
      </c>
      <c r="BP969" t="s">
        <v>74</v>
      </c>
      <c r="BQ969" t="s">
        <v>74</v>
      </c>
      <c r="BR969" t="s">
        <v>101</v>
      </c>
      <c r="BS969" t="s">
        <v>12908</v>
      </c>
      <c r="BT969" t="str">
        <f>HYPERLINK("https%3A%2F%2Fwww.webofscience.com%2Fwos%2Fwoscc%2Ffull-record%2FWOS:000252396600016","View Full Record in Web of Science")</f>
        <v>View Full Record in Web of Science</v>
      </c>
    </row>
    <row r="970" spans="1:72" x14ac:dyDescent="0.15">
      <c r="A970" t="s">
        <v>72</v>
      </c>
      <c r="B970" t="s">
        <v>12909</v>
      </c>
      <c r="C970" t="s">
        <v>74</v>
      </c>
      <c r="D970" t="s">
        <v>74</v>
      </c>
      <c r="E970" t="s">
        <v>74</v>
      </c>
      <c r="F970" t="s">
        <v>12910</v>
      </c>
      <c r="G970" t="s">
        <v>74</v>
      </c>
      <c r="H970" t="s">
        <v>74</v>
      </c>
      <c r="I970" t="s">
        <v>12911</v>
      </c>
      <c r="J970" t="s">
        <v>12912</v>
      </c>
      <c r="K970" t="s">
        <v>74</v>
      </c>
      <c r="L970" t="s">
        <v>74</v>
      </c>
      <c r="M970" t="s">
        <v>78</v>
      </c>
      <c r="N970" t="s">
        <v>2737</v>
      </c>
      <c r="O970" t="s">
        <v>74</v>
      </c>
      <c r="P970" t="s">
        <v>74</v>
      </c>
      <c r="Q970" t="s">
        <v>74</v>
      </c>
      <c r="R970" t="s">
        <v>74</v>
      </c>
      <c r="S970" t="s">
        <v>74</v>
      </c>
      <c r="T970" t="s">
        <v>12913</v>
      </c>
      <c r="U970" t="s">
        <v>12914</v>
      </c>
      <c r="V970" t="s">
        <v>12915</v>
      </c>
      <c r="W970" t="s">
        <v>12916</v>
      </c>
      <c r="X970" t="s">
        <v>9923</v>
      </c>
      <c r="Y970" t="s">
        <v>12917</v>
      </c>
      <c r="Z970" t="s">
        <v>12918</v>
      </c>
      <c r="AA970" t="s">
        <v>12919</v>
      </c>
      <c r="AB970" t="s">
        <v>9927</v>
      </c>
      <c r="AC970" t="s">
        <v>74</v>
      </c>
      <c r="AD970" t="s">
        <v>74</v>
      </c>
      <c r="AE970" t="s">
        <v>74</v>
      </c>
      <c r="AF970" t="s">
        <v>74</v>
      </c>
      <c r="AG970">
        <v>36</v>
      </c>
      <c r="AH970">
        <v>31</v>
      </c>
      <c r="AI970">
        <v>40</v>
      </c>
      <c r="AJ970">
        <v>2</v>
      </c>
      <c r="AK970">
        <v>24</v>
      </c>
      <c r="AL970" t="s">
        <v>3933</v>
      </c>
      <c r="AM970" t="s">
        <v>3258</v>
      </c>
      <c r="AN970" t="s">
        <v>3934</v>
      </c>
      <c r="AO970" t="s">
        <v>12920</v>
      </c>
      <c r="AP970" t="s">
        <v>12921</v>
      </c>
      <c r="AQ970" t="s">
        <v>74</v>
      </c>
      <c r="AR970" t="s">
        <v>12922</v>
      </c>
      <c r="AS970" t="s">
        <v>12923</v>
      </c>
      <c r="AT970" t="s">
        <v>12610</v>
      </c>
      <c r="AU970">
        <v>2008</v>
      </c>
      <c r="AV970">
        <v>133</v>
      </c>
      <c r="AW970">
        <v>3</v>
      </c>
      <c r="AX970" t="s">
        <v>74</v>
      </c>
      <c r="AY970" t="s">
        <v>74</v>
      </c>
      <c r="AZ970" t="s">
        <v>74</v>
      </c>
      <c r="BA970" t="s">
        <v>74</v>
      </c>
      <c r="BB970">
        <v>277</v>
      </c>
      <c r="BC970">
        <v>286</v>
      </c>
      <c r="BD970" t="s">
        <v>74</v>
      </c>
      <c r="BE970" t="s">
        <v>12924</v>
      </c>
      <c r="BF970" t="str">
        <f>HYPERLINK("http://dx.doi.org/10.1016/j.jbiotec.2007.10.004","http://dx.doi.org/10.1016/j.jbiotec.2007.10.004")</f>
        <v>http://dx.doi.org/10.1016/j.jbiotec.2007.10.004</v>
      </c>
      <c r="BG970" t="s">
        <v>74</v>
      </c>
      <c r="BH970" t="s">
        <v>74</v>
      </c>
      <c r="BI970">
        <v>10</v>
      </c>
      <c r="BJ970" t="s">
        <v>3986</v>
      </c>
      <c r="BK970" t="s">
        <v>419</v>
      </c>
      <c r="BL970" t="s">
        <v>3986</v>
      </c>
      <c r="BM970" t="s">
        <v>12925</v>
      </c>
      <c r="BN970">
        <v>18055055</v>
      </c>
      <c r="BO970" t="s">
        <v>74</v>
      </c>
      <c r="BP970" t="s">
        <v>74</v>
      </c>
      <c r="BQ970" t="s">
        <v>74</v>
      </c>
      <c r="BR970" t="s">
        <v>101</v>
      </c>
      <c r="BS970" t="s">
        <v>12926</v>
      </c>
      <c r="BT970" t="str">
        <f>HYPERLINK("https%3A%2F%2Fwww.webofscience.com%2Fwos%2Fwoscc%2Ffull-record%2FWOS:000252632200002","View Full Record in Web of Science")</f>
        <v>View Full Record in Web of Science</v>
      </c>
    </row>
    <row r="971" spans="1:72" x14ac:dyDescent="0.15">
      <c r="A971" t="s">
        <v>72</v>
      </c>
      <c r="B971" t="s">
        <v>12927</v>
      </c>
      <c r="C971" t="s">
        <v>74</v>
      </c>
      <c r="D971" t="s">
        <v>74</v>
      </c>
      <c r="E971" t="s">
        <v>74</v>
      </c>
      <c r="F971" t="s">
        <v>12928</v>
      </c>
      <c r="G971" t="s">
        <v>74</v>
      </c>
      <c r="H971" t="s">
        <v>74</v>
      </c>
      <c r="I971" t="s">
        <v>12929</v>
      </c>
      <c r="J971" t="s">
        <v>3706</v>
      </c>
      <c r="K971" t="s">
        <v>74</v>
      </c>
      <c r="L971" t="s">
        <v>74</v>
      </c>
      <c r="M971" t="s">
        <v>78</v>
      </c>
      <c r="N971" t="s">
        <v>2737</v>
      </c>
      <c r="O971" t="s">
        <v>74</v>
      </c>
      <c r="P971" t="s">
        <v>74</v>
      </c>
      <c r="Q971" t="s">
        <v>74</v>
      </c>
      <c r="R971" t="s">
        <v>74</v>
      </c>
      <c r="S971" t="s">
        <v>74</v>
      </c>
      <c r="T971" t="s">
        <v>74</v>
      </c>
      <c r="U971" t="s">
        <v>12930</v>
      </c>
      <c r="V971" t="s">
        <v>12931</v>
      </c>
      <c r="W971" t="s">
        <v>12932</v>
      </c>
      <c r="X971" t="s">
        <v>2177</v>
      </c>
      <c r="Y971" t="s">
        <v>12933</v>
      </c>
      <c r="Z971" t="s">
        <v>12934</v>
      </c>
      <c r="AA971" t="s">
        <v>12935</v>
      </c>
      <c r="AB971" t="s">
        <v>74</v>
      </c>
      <c r="AC971" t="s">
        <v>74</v>
      </c>
      <c r="AD971" t="s">
        <v>74</v>
      </c>
      <c r="AE971" t="s">
        <v>74</v>
      </c>
      <c r="AF971" t="s">
        <v>74</v>
      </c>
      <c r="AG971">
        <v>55</v>
      </c>
      <c r="AH971">
        <v>19</v>
      </c>
      <c r="AI971">
        <v>22</v>
      </c>
      <c r="AJ971">
        <v>1</v>
      </c>
      <c r="AK971">
        <v>10</v>
      </c>
      <c r="AL971" t="s">
        <v>3716</v>
      </c>
      <c r="AM971" t="s">
        <v>3717</v>
      </c>
      <c r="AN971" t="s">
        <v>3738</v>
      </c>
      <c r="AO971" t="s">
        <v>3719</v>
      </c>
      <c r="AP971" t="s">
        <v>3720</v>
      </c>
      <c r="AQ971" t="s">
        <v>74</v>
      </c>
      <c r="AR971" t="s">
        <v>3721</v>
      </c>
      <c r="AS971" t="s">
        <v>3722</v>
      </c>
      <c r="AT971" t="s">
        <v>11917</v>
      </c>
      <c r="AU971">
        <v>2008</v>
      </c>
      <c r="AV971">
        <v>21</v>
      </c>
      <c r="AW971">
        <v>3</v>
      </c>
      <c r="AX971" t="s">
        <v>74</v>
      </c>
      <c r="AY971" t="s">
        <v>74</v>
      </c>
      <c r="AZ971" t="s">
        <v>74</v>
      </c>
      <c r="BA971" t="s">
        <v>74</v>
      </c>
      <c r="BB971">
        <v>459</v>
      </c>
      <c r="BC971">
        <v>475</v>
      </c>
      <c r="BD971" t="s">
        <v>74</v>
      </c>
      <c r="BE971" t="s">
        <v>12936</v>
      </c>
      <c r="BF971" t="str">
        <f>HYPERLINK("http://dx.doi.org/10.1175/2007JCLI1703.1","http://dx.doi.org/10.1175/2007JCLI1703.1")</f>
        <v>http://dx.doi.org/10.1175/2007JCLI1703.1</v>
      </c>
      <c r="BG971" t="s">
        <v>74</v>
      </c>
      <c r="BH971" t="s">
        <v>74</v>
      </c>
      <c r="BI971">
        <v>17</v>
      </c>
      <c r="BJ971" t="s">
        <v>3071</v>
      </c>
      <c r="BK971" t="s">
        <v>419</v>
      </c>
      <c r="BL971" t="s">
        <v>3071</v>
      </c>
      <c r="BM971" t="s">
        <v>12937</v>
      </c>
      <c r="BN971" t="s">
        <v>74</v>
      </c>
      <c r="BO971" t="s">
        <v>3290</v>
      </c>
      <c r="BP971" t="s">
        <v>74</v>
      </c>
      <c r="BQ971" t="s">
        <v>74</v>
      </c>
      <c r="BR971" t="s">
        <v>101</v>
      </c>
      <c r="BS971" t="s">
        <v>12938</v>
      </c>
      <c r="BT971" t="str">
        <f>HYPERLINK("https%3A%2F%2Fwww.webofscience.com%2Fwos%2Fwoscc%2Ffull-record%2FWOS:000252892900003","View Full Record in Web of Science")</f>
        <v>View Full Record in Web of Science</v>
      </c>
    </row>
    <row r="972" spans="1:72" x14ac:dyDescent="0.15">
      <c r="A972" t="s">
        <v>72</v>
      </c>
      <c r="B972" t="s">
        <v>12939</v>
      </c>
      <c r="C972" t="s">
        <v>74</v>
      </c>
      <c r="D972" t="s">
        <v>74</v>
      </c>
      <c r="E972" t="s">
        <v>74</v>
      </c>
      <c r="F972" t="s">
        <v>12940</v>
      </c>
      <c r="G972" t="s">
        <v>74</v>
      </c>
      <c r="H972" t="s">
        <v>74</v>
      </c>
      <c r="I972" t="s">
        <v>12941</v>
      </c>
      <c r="J972" t="s">
        <v>3706</v>
      </c>
      <c r="K972" t="s">
        <v>74</v>
      </c>
      <c r="L972" t="s">
        <v>74</v>
      </c>
      <c r="M972" t="s">
        <v>78</v>
      </c>
      <c r="N972" t="s">
        <v>2737</v>
      </c>
      <c r="O972" t="s">
        <v>74</v>
      </c>
      <c r="P972" t="s">
        <v>74</v>
      </c>
      <c r="Q972" t="s">
        <v>74</v>
      </c>
      <c r="R972" t="s">
        <v>74</v>
      </c>
      <c r="S972" t="s">
        <v>74</v>
      </c>
      <c r="T972" t="s">
        <v>74</v>
      </c>
      <c r="U972" t="s">
        <v>12942</v>
      </c>
      <c r="V972" t="s">
        <v>12943</v>
      </c>
      <c r="W972" t="s">
        <v>12944</v>
      </c>
      <c r="X972" t="s">
        <v>12945</v>
      </c>
      <c r="Y972" t="s">
        <v>12946</v>
      </c>
      <c r="Z972" t="s">
        <v>12947</v>
      </c>
      <c r="AA972" t="s">
        <v>12948</v>
      </c>
      <c r="AB972" t="s">
        <v>12949</v>
      </c>
      <c r="AC972" t="s">
        <v>12950</v>
      </c>
      <c r="AD972" t="s">
        <v>3031</v>
      </c>
      <c r="AE972" t="s">
        <v>74</v>
      </c>
      <c r="AF972" t="s">
        <v>74</v>
      </c>
      <c r="AG972">
        <v>31</v>
      </c>
      <c r="AH972">
        <v>116</v>
      </c>
      <c r="AI972">
        <v>121</v>
      </c>
      <c r="AJ972">
        <v>4</v>
      </c>
      <c r="AK972">
        <v>43</v>
      </c>
      <c r="AL972" t="s">
        <v>3716</v>
      </c>
      <c r="AM972" t="s">
        <v>3717</v>
      </c>
      <c r="AN972" t="s">
        <v>3738</v>
      </c>
      <c r="AO972" t="s">
        <v>3719</v>
      </c>
      <c r="AP972" t="s">
        <v>74</v>
      </c>
      <c r="AQ972" t="s">
        <v>74</v>
      </c>
      <c r="AR972" t="s">
        <v>3721</v>
      </c>
      <c r="AS972" t="s">
        <v>3722</v>
      </c>
      <c r="AT972" t="s">
        <v>11917</v>
      </c>
      <c r="AU972">
        <v>2008</v>
      </c>
      <c r="AV972">
        <v>21</v>
      </c>
      <c r="AW972">
        <v>4</v>
      </c>
      <c r="AX972" t="s">
        <v>74</v>
      </c>
      <c r="AY972" t="s">
        <v>74</v>
      </c>
      <c r="AZ972" t="s">
        <v>74</v>
      </c>
      <c r="BA972" t="s">
        <v>74</v>
      </c>
      <c r="BB972">
        <v>608</v>
      </c>
      <c r="BC972">
        <v>620</v>
      </c>
      <c r="BD972" t="s">
        <v>74</v>
      </c>
      <c r="BE972" t="s">
        <v>12951</v>
      </c>
      <c r="BF972" t="str">
        <f>HYPERLINK("http://dx.doi.org/10.1175/2007JCLI1925.1","http://dx.doi.org/10.1175/2007JCLI1925.1")</f>
        <v>http://dx.doi.org/10.1175/2007JCLI1925.1</v>
      </c>
      <c r="BG972" t="s">
        <v>74</v>
      </c>
      <c r="BH972" t="s">
        <v>74</v>
      </c>
      <c r="BI972">
        <v>13</v>
      </c>
      <c r="BJ972" t="s">
        <v>3071</v>
      </c>
      <c r="BK972" t="s">
        <v>419</v>
      </c>
      <c r="BL972" t="s">
        <v>3071</v>
      </c>
      <c r="BM972" t="s">
        <v>12952</v>
      </c>
      <c r="BN972" t="s">
        <v>74</v>
      </c>
      <c r="BO972" t="s">
        <v>12953</v>
      </c>
      <c r="BP972" t="s">
        <v>74</v>
      </c>
      <c r="BQ972" t="s">
        <v>74</v>
      </c>
      <c r="BR972" t="s">
        <v>101</v>
      </c>
      <c r="BS972" t="s">
        <v>12954</v>
      </c>
      <c r="BT972" t="str">
        <f>HYPERLINK("https%3A%2F%2Fwww.webofscience.com%2Fwos%2Fwoscc%2Ffull-record%2FWOS:000253245000002","View Full Record in Web of Science")</f>
        <v>View Full Record in Web of Science</v>
      </c>
    </row>
    <row r="973" spans="1:72" x14ac:dyDescent="0.15">
      <c r="A973" t="s">
        <v>72</v>
      </c>
      <c r="B973" t="s">
        <v>12955</v>
      </c>
      <c r="C973" t="s">
        <v>74</v>
      </c>
      <c r="D973" t="s">
        <v>74</v>
      </c>
      <c r="E973" t="s">
        <v>74</v>
      </c>
      <c r="F973" t="s">
        <v>12956</v>
      </c>
      <c r="G973" t="s">
        <v>74</v>
      </c>
      <c r="H973" t="s">
        <v>74</v>
      </c>
      <c r="I973" t="s">
        <v>12957</v>
      </c>
      <c r="J973" t="s">
        <v>4875</v>
      </c>
      <c r="K973" t="s">
        <v>74</v>
      </c>
      <c r="L973" t="s">
        <v>74</v>
      </c>
      <c r="M973" t="s">
        <v>78</v>
      </c>
      <c r="N973" t="s">
        <v>2737</v>
      </c>
      <c r="O973" t="s">
        <v>74</v>
      </c>
      <c r="P973" t="s">
        <v>74</v>
      </c>
      <c r="Q973" t="s">
        <v>74</v>
      </c>
      <c r="R973" t="s">
        <v>74</v>
      </c>
      <c r="S973" t="s">
        <v>74</v>
      </c>
      <c r="T973" t="s">
        <v>12958</v>
      </c>
      <c r="U973" t="s">
        <v>12959</v>
      </c>
      <c r="V973" t="s">
        <v>12960</v>
      </c>
      <c r="W973" t="s">
        <v>12961</v>
      </c>
      <c r="X973" t="s">
        <v>4880</v>
      </c>
      <c r="Y973" t="s">
        <v>12962</v>
      </c>
      <c r="Z973" t="s">
        <v>12963</v>
      </c>
      <c r="AA973" t="s">
        <v>74</v>
      </c>
      <c r="AB973" t="s">
        <v>74</v>
      </c>
      <c r="AC973" t="s">
        <v>74</v>
      </c>
      <c r="AD973" t="s">
        <v>74</v>
      </c>
      <c r="AE973" t="s">
        <v>74</v>
      </c>
      <c r="AF973" t="s">
        <v>74</v>
      </c>
      <c r="AG973">
        <v>27</v>
      </c>
      <c r="AH973">
        <v>23</v>
      </c>
      <c r="AI973">
        <v>26</v>
      </c>
      <c r="AJ973">
        <v>0</v>
      </c>
      <c r="AK973">
        <v>13</v>
      </c>
      <c r="AL973" t="s">
        <v>10794</v>
      </c>
      <c r="AM973" t="s">
        <v>4364</v>
      </c>
      <c r="AN973" t="s">
        <v>10795</v>
      </c>
      <c r="AO973" t="s">
        <v>4885</v>
      </c>
      <c r="AP973" t="s">
        <v>4886</v>
      </c>
      <c r="AQ973" t="s">
        <v>74</v>
      </c>
      <c r="AR973" t="s">
        <v>4887</v>
      </c>
      <c r="AS973" t="s">
        <v>4888</v>
      </c>
      <c r="AT973" t="s">
        <v>12610</v>
      </c>
      <c r="AU973">
        <v>2008</v>
      </c>
      <c r="AV973">
        <v>211</v>
      </c>
      <c r="AW973">
        <v>3</v>
      </c>
      <c r="AX973" t="s">
        <v>74</v>
      </c>
      <c r="AY973" t="s">
        <v>74</v>
      </c>
      <c r="AZ973" t="s">
        <v>74</v>
      </c>
      <c r="BA973" t="s">
        <v>74</v>
      </c>
      <c r="BB973">
        <v>337</v>
      </c>
      <c r="BC973">
        <v>340</v>
      </c>
      <c r="BD973" t="s">
        <v>74</v>
      </c>
      <c r="BE973" t="s">
        <v>12964</v>
      </c>
      <c r="BF973" t="str">
        <f>HYPERLINK("http://dx.doi.org/10.1242/jeb.010512","http://dx.doi.org/10.1242/jeb.010512")</f>
        <v>http://dx.doi.org/10.1242/jeb.010512</v>
      </c>
      <c r="BG973" t="s">
        <v>74</v>
      </c>
      <c r="BH973" t="s">
        <v>74</v>
      </c>
      <c r="BI973">
        <v>4</v>
      </c>
      <c r="BJ973" t="s">
        <v>4890</v>
      </c>
      <c r="BK973" t="s">
        <v>419</v>
      </c>
      <c r="BL973" t="s">
        <v>4891</v>
      </c>
      <c r="BM973" t="s">
        <v>12965</v>
      </c>
      <c r="BN973">
        <v>18203988</v>
      </c>
      <c r="BO973" t="s">
        <v>74</v>
      </c>
      <c r="BP973" t="s">
        <v>74</v>
      </c>
      <c r="BQ973" t="s">
        <v>74</v>
      </c>
      <c r="BR973" t="s">
        <v>101</v>
      </c>
      <c r="BS973" t="s">
        <v>12966</v>
      </c>
      <c r="BT973" t="str">
        <f>HYPERLINK("https%3A%2F%2Fwww.webofscience.com%2Fwos%2Fwoscc%2Ffull-record%2FWOS:000253196400016","View Full Record in Web of Science")</f>
        <v>View Full Record in Web of Science</v>
      </c>
    </row>
    <row r="974" spans="1:72" x14ac:dyDescent="0.15">
      <c r="A974" t="s">
        <v>72</v>
      </c>
      <c r="B974" t="s">
        <v>12967</v>
      </c>
      <c r="C974" t="s">
        <v>74</v>
      </c>
      <c r="D974" t="s">
        <v>74</v>
      </c>
      <c r="E974" t="s">
        <v>74</v>
      </c>
      <c r="F974" t="s">
        <v>12968</v>
      </c>
      <c r="G974" t="s">
        <v>74</v>
      </c>
      <c r="H974" t="s">
        <v>74</v>
      </c>
      <c r="I974" t="s">
        <v>12969</v>
      </c>
      <c r="J974" t="s">
        <v>12970</v>
      </c>
      <c r="K974" t="s">
        <v>74</v>
      </c>
      <c r="L974" t="s">
        <v>74</v>
      </c>
      <c r="M974" t="s">
        <v>78</v>
      </c>
      <c r="N974" t="s">
        <v>2737</v>
      </c>
      <c r="O974" t="s">
        <v>74</v>
      </c>
      <c r="P974" t="s">
        <v>74</v>
      </c>
      <c r="Q974" t="s">
        <v>74</v>
      </c>
      <c r="R974" t="s">
        <v>74</v>
      </c>
      <c r="S974" t="s">
        <v>74</v>
      </c>
      <c r="T974" t="s">
        <v>12971</v>
      </c>
      <c r="U974" t="s">
        <v>12972</v>
      </c>
      <c r="V974" t="s">
        <v>12973</v>
      </c>
      <c r="W974" t="s">
        <v>12974</v>
      </c>
      <c r="X974" t="s">
        <v>12975</v>
      </c>
      <c r="Y974" t="s">
        <v>12976</v>
      </c>
      <c r="Z974" t="s">
        <v>12977</v>
      </c>
      <c r="AA974" t="s">
        <v>12978</v>
      </c>
      <c r="AB974" t="s">
        <v>12979</v>
      </c>
      <c r="AC974" t="s">
        <v>74</v>
      </c>
      <c r="AD974" t="s">
        <v>74</v>
      </c>
      <c r="AE974" t="s">
        <v>74</v>
      </c>
      <c r="AF974" t="s">
        <v>74</v>
      </c>
      <c r="AG974">
        <v>45</v>
      </c>
      <c r="AH974">
        <v>84</v>
      </c>
      <c r="AI974">
        <v>115</v>
      </c>
      <c r="AJ974">
        <v>4</v>
      </c>
      <c r="AK974">
        <v>92</v>
      </c>
      <c r="AL974" t="s">
        <v>3933</v>
      </c>
      <c r="AM974" t="s">
        <v>3258</v>
      </c>
      <c r="AN974" t="s">
        <v>3934</v>
      </c>
      <c r="AO974" t="s">
        <v>12980</v>
      </c>
      <c r="AP974" t="s">
        <v>12981</v>
      </c>
      <c r="AQ974" t="s">
        <v>74</v>
      </c>
      <c r="AR974" t="s">
        <v>12982</v>
      </c>
      <c r="AS974" t="s">
        <v>12983</v>
      </c>
      <c r="AT974" t="s">
        <v>12610</v>
      </c>
      <c r="AU974">
        <v>2008</v>
      </c>
      <c r="AV974">
        <v>349</v>
      </c>
      <c r="AW974" t="s">
        <v>3263</v>
      </c>
      <c r="AX974" t="s">
        <v>74</v>
      </c>
      <c r="AY974" t="s">
        <v>74</v>
      </c>
      <c r="AZ974" t="s">
        <v>74</v>
      </c>
      <c r="BA974" t="s">
        <v>74</v>
      </c>
      <c r="BB974">
        <v>489</v>
      </c>
      <c r="BC974">
        <v>500</v>
      </c>
      <c r="BD974" t="s">
        <v>74</v>
      </c>
      <c r="BE974" t="s">
        <v>12984</v>
      </c>
      <c r="BF974" t="str">
        <f>HYPERLINK("http://dx.doi.org/10.1016/j.jhydrol.2007.11.021","http://dx.doi.org/10.1016/j.jhydrol.2007.11.021")</f>
        <v>http://dx.doi.org/10.1016/j.jhydrol.2007.11.021</v>
      </c>
      <c r="BG974" t="s">
        <v>74</v>
      </c>
      <c r="BH974" t="s">
        <v>74</v>
      </c>
      <c r="BI974">
        <v>12</v>
      </c>
      <c r="BJ974" t="s">
        <v>12985</v>
      </c>
      <c r="BK974" t="s">
        <v>419</v>
      </c>
      <c r="BL974" t="s">
        <v>12986</v>
      </c>
      <c r="BM974" t="s">
        <v>12987</v>
      </c>
      <c r="BN974" t="s">
        <v>74</v>
      </c>
      <c r="BO974" t="s">
        <v>74</v>
      </c>
      <c r="BP974" t="s">
        <v>74</v>
      </c>
      <c r="BQ974" t="s">
        <v>74</v>
      </c>
      <c r="BR974" t="s">
        <v>101</v>
      </c>
      <c r="BS974" t="s">
        <v>12988</v>
      </c>
      <c r="BT974" t="str">
        <f>HYPERLINK("https%3A%2F%2Fwww.webofscience.com%2Fwos%2Fwoscc%2Ffull-record%2FWOS:000253219900019","View Full Record in Web of Science")</f>
        <v>View Full Record in Web of Science</v>
      </c>
    </row>
    <row r="975" spans="1:72" x14ac:dyDescent="0.15">
      <c r="A975" t="s">
        <v>72</v>
      </c>
      <c r="B975" t="s">
        <v>12989</v>
      </c>
      <c r="C975" t="s">
        <v>74</v>
      </c>
      <c r="D975" t="s">
        <v>74</v>
      </c>
      <c r="E975" t="s">
        <v>74</v>
      </c>
      <c r="F975" t="s">
        <v>12990</v>
      </c>
      <c r="G975" t="s">
        <v>74</v>
      </c>
      <c r="H975" t="s">
        <v>74</v>
      </c>
      <c r="I975" t="s">
        <v>12991</v>
      </c>
      <c r="J975" t="s">
        <v>12992</v>
      </c>
      <c r="K975" t="s">
        <v>74</v>
      </c>
      <c r="L975" t="s">
        <v>74</v>
      </c>
      <c r="M975" t="s">
        <v>78</v>
      </c>
      <c r="N975" t="s">
        <v>2737</v>
      </c>
      <c r="O975" t="s">
        <v>12993</v>
      </c>
      <c r="P975" t="s">
        <v>12994</v>
      </c>
      <c r="Q975" t="s">
        <v>12995</v>
      </c>
      <c r="R975" t="s">
        <v>74</v>
      </c>
      <c r="S975" t="s">
        <v>74</v>
      </c>
      <c r="T975" t="s">
        <v>74</v>
      </c>
      <c r="U975" t="s">
        <v>12996</v>
      </c>
      <c r="V975" t="s">
        <v>12997</v>
      </c>
      <c r="W975" t="s">
        <v>74</v>
      </c>
      <c r="X975" t="s">
        <v>74</v>
      </c>
      <c r="Y975" t="s">
        <v>74</v>
      </c>
      <c r="Z975" t="s">
        <v>74</v>
      </c>
      <c r="AA975" t="s">
        <v>12998</v>
      </c>
      <c r="AB975" t="s">
        <v>12999</v>
      </c>
      <c r="AC975" t="s">
        <v>74</v>
      </c>
      <c r="AD975" t="s">
        <v>74</v>
      </c>
      <c r="AE975" t="s">
        <v>74</v>
      </c>
      <c r="AF975" t="s">
        <v>74</v>
      </c>
      <c r="AG975">
        <v>17</v>
      </c>
      <c r="AH975">
        <v>71</v>
      </c>
      <c r="AI975">
        <v>76</v>
      </c>
      <c r="AJ975">
        <v>0</v>
      </c>
      <c r="AK975">
        <v>8</v>
      </c>
      <c r="AL975" t="s">
        <v>13000</v>
      </c>
      <c r="AM975" t="s">
        <v>3550</v>
      </c>
      <c r="AN975" t="s">
        <v>13001</v>
      </c>
      <c r="AO975" t="s">
        <v>13002</v>
      </c>
      <c r="AP975" t="s">
        <v>74</v>
      </c>
      <c r="AQ975" t="s">
        <v>74</v>
      </c>
      <c r="AR975" t="s">
        <v>13003</v>
      </c>
      <c r="AS975" t="s">
        <v>13004</v>
      </c>
      <c r="AT975" t="s">
        <v>11917</v>
      </c>
      <c r="AU975">
        <v>2008</v>
      </c>
      <c r="AV975">
        <v>1</v>
      </c>
      <c r="AW975">
        <v>1</v>
      </c>
      <c r="AX975" t="s">
        <v>74</v>
      </c>
      <c r="AY975" t="s">
        <v>74</v>
      </c>
      <c r="AZ975" t="s">
        <v>74</v>
      </c>
      <c r="BA975" t="s">
        <v>74</v>
      </c>
      <c r="BB975">
        <v>51</v>
      </c>
      <c r="BC975">
        <v>57</v>
      </c>
      <c r="BD975" t="s">
        <v>74</v>
      </c>
      <c r="BE975" t="s">
        <v>13005</v>
      </c>
      <c r="BF975" t="str">
        <f>HYPERLINK("http://dx.doi.org/10.1080/1755876X.2008.11020095","http://dx.doi.org/10.1080/1755876X.2008.11020095")</f>
        <v>http://dx.doi.org/10.1080/1755876X.2008.11020095</v>
      </c>
      <c r="BG975" t="s">
        <v>74</v>
      </c>
      <c r="BH975" t="s">
        <v>74</v>
      </c>
      <c r="BI975">
        <v>7</v>
      </c>
      <c r="BJ975" t="s">
        <v>10076</v>
      </c>
      <c r="BK975" t="s">
        <v>419</v>
      </c>
      <c r="BL975" t="s">
        <v>10076</v>
      </c>
      <c r="BM975" t="s">
        <v>13006</v>
      </c>
      <c r="BN975" t="s">
        <v>74</v>
      </c>
      <c r="BO975" t="s">
        <v>74</v>
      </c>
      <c r="BP975" t="s">
        <v>74</v>
      </c>
      <c r="BQ975" t="s">
        <v>74</v>
      </c>
      <c r="BR975" t="s">
        <v>101</v>
      </c>
      <c r="BS975" t="s">
        <v>13007</v>
      </c>
      <c r="BT975" t="str">
        <f>HYPERLINK("https%3A%2F%2Fwww.webofscience.com%2Fwos%2Fwoscc%2Ffull-record%2FWOS:000270939200007","View Full Record in Web of Science")</f>
        <v>View Full Record in Web of Science</v>
      </c>
    </row>
    <row r="976" spans="1:72" x14ac:dyDescent="0.15">
      <c r="A976" t="s">
        <v>72</v>
      </c>
      <c r="B976" t="s">
        <v>13008</v>
      </c>
      <c r="C976" t="s">
        <v>74</v>
      </c>
      <c r="D976" t="s">
        <v>74</v>
      </c>
      <c r="E976" t="s">
        <v>74</v>
      </c>
      <c r="F976" t="s">
        <v>13009</v>
      </c>
      <c r="G976" t="s">
        <v>74</v>
      </c>
      <c r="H976" t="s">
        <v>74</v>
      </c>
      <c r="I976" t="s">
        <v>13010</v>
      </c>
      <c r="J976" t="s">
        <v>13011</v>
      </c>
      <c r="K976" t="s">
        <v>74</v>
      </c>
      <c r="L976" t="s">
        <v>74</v>
      </c>
      <c r="M976" t="s">
        <v>78</v>
      </c>
      <c r="N976" t="s">
        <v>2737</v>
      </c>
      <c r="O976" t="s">
        <v>74</v>
      </c>
      <c r="P976" t="s">
        <v>74</v>
      </c>
      <c r="Q976" t="s">
        <v>74</v>
      </c>
      <c r="R976" t="s">
        <v>74</v>
      </c>
      <c r="S976" t="s">
        <v>74</v>
      </c>
      <c r="T976" t="s">
        <v>13012</v>
      </c>
      <c r="U976" t="s">
        <v>13013</v>
      </c>
      <c r="V976" t="s">
        <v>13014</v>
      </c>
      <c r="W976" t="s">
        <v>13015</v>
      </c>
      <c r="X976" t="s">
        <v>13016</v>
      </c>
      <c r="Y976" t="s">
        <v>13017</v>
      </c>
      <c r="Z976" t="s">
        <v>13018</v>
      </c>
      <c r="AA976" t="s">
        <v>13019</v>
      </c>
      <c r="AB976" t="s">
        <v>13020</v>
      </c>
      <c r="AC976" t="s">
        <v>74</v>
      </c>
      <c r="AD976" t="s">
        <v>74</v>
      </c>
      <c r="AE976" t="s">
        <v>74</v>
      </c>
      <c r="AF976" t="s">
        <v>74</v>
      </c>
      <c r="AG976">
        <v>98</v>
      </c>
      <c r="AH976">
        <v>25</v>
      </c>
      <c r="AI976">
        <v>26</v>
      </c>
      <c r="AJ976">
        <v>0</v>
      </c>
      <c r="AK976">
        <v>15</v>
      </c>
      <c r="AL976" t="s">
        <v>2746</v>
      </c>
      <c r="AM976" t="s">
        <v>2793</v>
      </c>
      <c r="AN976" t="s">
        <v>2794</v>
      </c>
      <c r="AO976" t="s">
        <v>13021</v>
      </c>
      <c r="AP976" t="s">
        <v>13022</v>
      </c>
      <c r="AQ976" t="s">
        <v>74</v>
      </c>
      <c r="AR976" t="s">
        <v>13023</v>
      </c>
      <c r="AS976" t="s">
        <v>13024</v>
      </c>
      <c r="AT976" t="s">
        <v>11917</v>
      </c>
      <c r="AU976">
        <v>2008</v>
      </c>
      <c r="AV976">
        <v>39</v>
      </c>
      <c r="AW976">
        <v>2</v>
      </c>
      <c r="AX976" t="s">
        <v>74</v>
      </c>
      <c r="AY976" t="s">
        <v>74</v>
      </c>
      <c r="AZ976" t="s">
        <v>74</v>
      </c>
      <c r="BA976" t="s">
        <v>74</v>
      </c>
      <c r="BB976">
        <v>219</v>
      </c>
      <c r="BC976">
        <v>235</v>
      </c>
      <c r="BD976" t="s">
        <v>74</v>
      </c>
      <c r="BE976" t="s">
        <v>13025</v>
      </c>
      <c r="BF976" t="str">
        <f>HYPERLINK("http://dx.doi.org/10.1007/s10933-007-9114-1","http://dx.doi.org/10.1007/s10933-007-9114-1")</f>
        <v>http://dx.doi.org/10.1007/s10933-007-9114-1</v>
      </c>
      <c r="BG976" t="s">
        <v>74</v>
      </c>
      <c r="BH976" t="s">
        <v>74</v>
      </c>
      <c r="BI976">
        <v>17</v>
      </c>
      <c r="BJ976" t="s">
        <v>13026</v>
      </c>
      <c r="BK976" t="s">
        <v>419</v>
      </c>
      <c r="BL976" t="s">
        <v>13027</v>
      </c>
      <c r="BM976" t="s">
        <v>13028</v>
      </c>
      <c r="BN976" t="s">
        <v>74</v>
      </c>
      <c r="BO976" t="s">
        <v>3311</v>
      </c>
      <c r="BP976" t="s">
        <v>74</v>
      </c>
      <c r="BQ976" t="s">
        <v>74</v>
      </c>
      <c r="BR976" t="s">
        <v>101</v>
      </c>
      <c r="BS976" t="s">
        <v>13029</v>
      </c>
      <c r="BT976" t="str">
        <f>HYPERLINK("https%3A%2F%2Fwww.webofscience.com%2Fwos%2Fwoscc%2Ffull-record%2FWOS:000252419600005","View Full Record in Web of Science")</f>
        <v>View Full Record in Web of Science</v>
      </c>
    </row>
    <row r="977" spans="1:72" x14ac:dyDescent="0.15">
      <c r="A977" t="s">
        <v>72</v>
      </c>
      <c r="B977" t="s">
        <v>13030</v>
      </c>
      <c r="C977" t="s">
        <v>74</v>
      </c>
      <c r="D977" t="s">
        <v>74</v>
      </c>
      <c r="E977" t="s">
        <v>74</v>
      </c>
      <c r="F977" t="s">
        <v>13031</v>
      </c>
      <c r="G977" t="s">
        <v>74</v>
      </c>
      <c r="H977" t="s">
        <v>74</v>
      </c>
      <c r="I977" t="s">
        <v>13032</v>
      </c>
      <c r="J977" t="s">
        <v>4964</v>
      </c>
      <c r="K977" t="s">
        <v>74</v>
      </c>
      <c r="L977" t="s">
        <v>74</v>
      </c>
      <c r="M977" t="s">
        <v>78</v>
      </c>
      <c r="N977" t="s">
        <v>2737</v>
      </c>
      <c r="O977" t="s">
        <v>74</v>
      </c>
      <c r="P977" t="s">
        <v>74</v>
      </c>
      <c r="Q977" t="s">
        <v>74</v>
      </c>
      <c r="R977" t="s">
        <v>74</v>
      </c>
      <c r="S977" t="s">
        <v>74</v>
      </c>
      <c r="T977" t="s">
        <v>13033</v>
      </c>
      <c r="U977" t="s">
        <v>13034</v>
      </c>
      <c r="V977" t="s">
        <v>13035</v>
      </c>
      <c r="W977" t="s">
        <v>13036</v>
      </c>
      <c r="X977" t="s">
        <v>13037</v>
      </c>
      <c r="Y977" t="s">
        <v>13038</v>
      </c>
      <c r="Z977" t="s">
        <v>13039</v>
      </c>
      <c r="AA977" t="s">
        <v>74</v>
      </c>
      <c r="AB977" t="s">
        <v>74</v>
      </c>
      <c r="AC977" t="s">
        <v>74</v>
      </c>
      <c r="AD977" t="s">
        <v>74</v>
      </c>
      <c r="AE977" t="s">
        <v>74</v>
      </c>
      <c r="AF977" t="s">
        <v>74</v>
      </c>
      <c r="AG977">
        <v>65</v>
      </c>
      <c r="AH977">
        <v>11</v>
      </c>
      <c r="AI977">
        <v>13</v>
      </c>
      <c r="AJ977">
        <v>0</v>
      </c>
      <c r="AK977">
        <v>21</v>
      </c>
      <c r="AL977" t="s">
        <v>88</v>
      </c>
      <c r="AM977" t="s">
        <v>89</v>
      </c>
      <c r="AN977" t="s">
        <v>90</v>
      </c>
      <c r="AO977" t="s">
        <v>4974</v>
      </c>
      <c r="AP977" t="s">
        <v>4975</v>
      </c>
      <c r="AQ977" t="s">
        <v>74</v>
      </c>
      <c r="AR977" t="s">
        <v>4976</v>
      </c>
      <c r="AS977" t="s">
        <v>4977</v>
      </c>
      <c r="AT977" t="s">
        <v>11917</v>
      </c>
      <c r="AU977">
        <v>2008</v>
      </c>
      <c r="AV977">
        <v>44</v>
      </c>
      <c r="AW977">
        <v>1</v>
      </c>
      <c r="AX977" t="s">
        <v>74</v>
      </c>
      <c r="AY977" t="s">
        <v>74</v>
      </c>
      <c r="AZ977" t="s">
        <v>74</v>
      </c>
      <c r="BA977" t="s">
        <v>74</v>
      </c>
      <c r="BB977">
        <v>173</v>
      </c>
      <c r="BC977">
        <v>182</v>
      </c>
      <c r="BD977" t="s">
        <v>74</v>
      </c>
      <c r="BE977" t="s">
        <v>13040</v>
      </c>
      <c r="BF977" t="str">
        <f>HYPERLINK("http://dx.doi.org/10.1111/j.1529-8817.2007.00431.x","http://dx.doi.org/10.1111/j.1529-8817.2007.00431.x")</f>
        <v>http://dx.doi.org/10.1111/j.1529-8817.2007.00431.x</v>
      </c>
      <c r="BG977" t="s">
        <v>74</v>
      </c>
      <c r="BH977" t="s">
        <v>74</v>
      </c>
      <c r="BI977">
        <v>10</v>
      </c>
      <c r="BJ977" t="s">
        <v>2822</v>
      </c>
      <c r="BK977" t="s">
        <v>419</v>
      </c>
      <c r="BL977" t="s">
        <v>2822</v>
      </c>
      <c r="BM977" t="s">
        <v>13041</v>
      </c>
      <c r="BN977">
        <v>27041054</v>
      </c>
      <c r="BO977" t="s">
        <v>74</v>
      </c>
      <c r="BP977" t="s">
        <v>74</v>
      </c>
      <c r="BQ977" t="s">
        <v>74</v>
      </c>
      <c r="BR977" t="s">
        <v>101</v>
      </c>
      <c r="BS977" t="s">
        <v>13042</v>
      </c>
      <c r="BT977" t="str">
        <f>HYPERLINK("https%3A%2F%2Fwww.webofscience.com%2Fwos%2Fwoscc%2Ffull-record%2FWOS:000252986000025","View Full Record in Web of Science")</f>
        <v>View Full Record in Web of Science</v>
      </c>
    </row>
    <row r="978" spans="1:72" x14ac:dyDescent="0.15">
      <c r="A978" t="s">
        <v>72</v>
      </c>
      <c r="B978" t="s">
        <v>13043</v>
      </c>
      <c r="C978" t="s">
        <v>74</v>
      </c>
      <c r="D978" t="s">
        <v>74</v>
      </c>
      <c r="E978" t="s">
        <v>74</v>
      </c>
      <c r="F978" t="s">
        <v>13044</v>
      </c>
      <c r="G978" t="s">
        <v>74</v>
      </c>
      <c r="H978" t="s">
        <v>74</v>
      </c>
      <c r="I978" t="s">
        <v>13045</v>
      </c>
      <c r="J978" t="s">
        <v>10871</v>
      </c>
      <c r="K978" t="s">
        <v>74</v>
      </c>
      <c r="L978" t="s">
        <v>74</v>
      </c>
      <c r="M978" t="s">
        <v>78</v>
      </c>
      <c r="N978" t="s">
        <v>2737</v>
      </c>
      <c r="O978" t="s">
        <v>74</v>
      </c>
      <c r="P978" t="s">
        <v>74</v>
      </c>
      <c r="Q978" t="s">
        <v>74</v>
      </c>
      <c r="R978" t="s">
        <v>74</v>
      </c>
      <c r="S978" t="s">
        <v>74</v>
      </c>
      <c r="T978" t="s">
        <v>13046</v>
      </c>
      <c r="U978" t="s">
        <v>13047</v>
      </c>
      <c r="V978" t="s">
        <v>13048</v>
      </c>
      <c r="W978" t="s">
        <v>13049</v>
      </c>
      <c r="X978" t="s">
        <v>13050</v>
      </c>
      <c r="Y978" t="s">
        <v>13051</v>
      </c>
      <c r="Z978" t="s">
        <v>13052</v>
      </c>
      <c r="AA978" t="s">
        <v>74</v>
      </c>
      <c r="AB978" t="s">
        <v>74</v>
      </c>
      <c r="AC978" t="s">
        <v>74</v>
      </c>
      <c r="AD978" t="s">
        <v>74</v>
      </c>
      <c r="AE978" t="s">
        <v>74</v>
      </c>
      <c r="AF978" t="s">
        <v>74</v>
      </c>
      <c r="AG978">
        <v>38</v>
      </c>
      <c r="AH978">
        <v>12</v>
      </c>
      <c r="AI978">
        <v>13</v>
      </c>
      <c r="AJ978">
        <v>0</v>
      </c>
      <c r="AK978">
        <v>8</v>
      </c>
      <c r="AL978" t="s">
        <v>88</v>
      </c>
      <c r="AM978" t="s">
        <v>89</v>
      </c>
      <c r="AN978" t="s">
        <v>90</v>
      </c>
      <c r="AO978" t="s">
        <v>10880</v>
      </c>
      <c r="AP978" t="s">
        <v>10881</v>
      </c>
      <c r="AQ978" t="s">
        <v>74</v>
      </c>
      <c r="AR978" t="s">
        <v>10882</v>
      </c>
      <c r="AS978" t="s">
        <v>10883</v>
      </c>
      <c r="AT978" t="s">
        <v>11917</v>
      </c>
      <c r="AU978">
        <v>2008</v>
      </c>
      <c r="AV978">
        <v>23</v>
      </c>
      <c r="AW978">
        <v>2</v>
      </c>
      <c r="AX978" t="s">
        <v>74</v>
      </c>
      <c r="AY978" t="s">
        <v>74</v>
      </c>
      <c r="AZ978" t="s">
        <v>74</v>
      </c>
      <c r="BA978" t="s">
        <v>74</v>
      </c>
      <c r="BB978">
        <v>165</v>
      </c>
      <c r="BC978">
        <v>174</v>
      </c>
      <c r="BD978" t="s">
        <v>74</v>
      </c>
      <c r="BE978" t="s">
        <v>13053</v>
      </c>
      <c r="BF978" t="str">
        <f>HYPERLINK("http://dx.doi.org/10.1002/jqs.1130","http://dx.doi.org/10.1002/jqs.1130")</f>
        <v>http://dx.doi.org/10.1002/jqs.1130</v>
      </c>
      <c r="BG978" t="s">
        <v>74</v>
      </c>
      <c r="BH978" t="s">
        <v>74</v>
      </c>
      <c r="BI978">
        <v>10</v>
      </c>
      <c r="BJ978" t="s">
        <v>3015</v>
      </c>
      <c r="BK978" t="s">
        <v>419</v>
      </c>
      <c r="BL978" t="s">
        <v>3016</v>
      </c>
      <c r="BM978" t="s">
        <v>13054</v>
      </c>
      <c r="BN978" t="s">
        <v>74</v>
      </c>
      <c r="BO978" t="s">
        <v>74</v>
      </c>
      <c r="BP978" t="s">
        <v>74</v>
      </c>
      <c r="BQ978" t="s">
        <v>74</v>
      </c>
      <c r="BR978" t="s">
        <v>101</v>
      </c>
      <c r="BS978" t="s">
        <v>13055</v>
      </c>
      <c r="BT978" t="str">
        <f>HYPERLINK("https%3A%2F%2Fwww.webofscience.com%2Fwos%2Fwoscc%2Ffull-record%2FWOS:000253782100006","View Full Record in Web of Science")</f>
        <v>View Full Record in Web of Science</v>
      </c>
    </row>
    <row r="979" spans="1:72" x14ac:dyDescent="0.15">
      <c r="A979" t="s">
        <v>72</v>
      </c>
      <c r="B979" t="s">
        <v>13056</v>
      </c>
      <c r="C979" t="s">
        <v>74</v>
      </c>
      <c r="D979" t="s">
        <v>74</v>
      </c>
      <c r="E979" t="s">
        <v>74</v>
      </c>
      <c r="F979" t="s">
        <v>13057</v>
      </c>
      <c r="G979" t="s">
        <v>74</v>
      </c>
      <c r="H979" t="s">
        <v>74</v>
      </c>
      <c r="I979" t="s">
        <v>13058</v>
      </c>
      <c r="J979" t="s">
        <v>8806</v>
      </c>
      <c r="K979" t="s">
        <v>74</v>
      </c>
      <c r="L979" t="s">
        <v>74</v>
      </c>
      <c r="M979" t="s">
        <v>78</v>
      </c>
      <c r="N979" t="s">
        <v>2737</v>
      </c>
      <c r="O979" t="s">
        <v>74</v>
      </c>
      <c r="P979" t="s">
        <v>74</v>
      </c>
      <c r="Q979" t="s">
        <v>74</v>
      </c>
      <c r="R979" t="s">
        <v>74</v>
      </c>
      <c r="S979" t="s">
        <v>74</v>
      </c>
      <c r="T979" t="s">
        <v>74</v>
      </c>
      <c r="U979" t="s">
        <v>13059</v>
      </c>
      <c r="V979" t="s">
        <v>13060</v>
      </c>
      <c r="W979" t="s">
        <v>13061</v>
      </c>
      <c r="X979" t="s">
        <v>13062</v>
      </c>
      <c r="Y979" t="s">
        <v>13063</v>
      </c>
      <c r="Z979" t="s">
        <v>13064</v>
      </c>
      <c r="AA979" t="s">
        <v>13065</v>
      </c>
      <c r="AB979" t="s">
        <v>13066</v>
      </c>
      <c r="AC979" t="s">
        <v>74</v>
      </c>
      <c r="AD979" t="s">
        <v>74</v>
      </c>
      <c r="AE979" t="s">
        <v>74</v>
      </c>
      <c r="AF979" t="s">
        <v>74</v>
      </c>
      <c r="AG979">
        <v>52</v>
      </c>
      <c r="AH979">
        <v>7</v>
      </c>
      <c r="AI979">
        <v>7</v>
      </c>
      <c r="AJ979">
        <v>0</v>
      </c>
      <c r="AK979">
        <v>1</v>
      </c>
      <c r="AL979" t="s">
        <v>3716</v>
      </c>
      <c r="AM979" t="s">
        <v>3717</v>
      </c>
      <c r="AN979" t="s">
        <v>3738</v>
      </c>
      <c r="AO979" t="s">
        <v>8814</v>
      </c>
      <c r="AP979" t="s">
        <v>8815</v>
      </c>
      <c r="AQ979" t="s">
        <v>74</v>
      </c>
      <c r="AR979" t="s">
        <v>8816</v>
      </c>
      <c r="AS979" t="s">
        <v>8817</v>
      </c>
      <c r="AT979" t="s">
        <v>11917</v>
      </c>
      <c r="AU979">
        <v>2008</v>
      </c>
      <c r="AV979">
        <v>65</v>
      </c>
      <c r="AW979">
        <v>2</v>
      </c>
      <c r="AX979" t="s">
        <v>74</v>
      </c>
      <c r="AY979" t="s">
        <v>74</v>
      </c>
      <c r="AZ979" t="s">
        <v>74</v>
      </c>
      <c r="BA979" t="s">
        <v>74</v>
      </c>
      <c r="BB979">
        <v>490</v>
      </c>
      <c r="BC979">
        <v>508</v>
      </c>
      <c r="BD979" t="s">
        <v>74</v>
      </c>
      <c r="BE979" t="s">
        <v>13067</v>
      </c>
      <c r="BF979" t="str">
        <f>HYPERLINK("http://dx.doi.org/10.1175/2007JAS2403.1","http://dx.doi.org/10.1175/2007JAS2403.1")</f>
        <v>http://dx.doi.org/10.1175/2007JAS2403.1</v>
      </c>
      <c r="BG979" t="s">
        <v>74</v>
      </c>
      <c r="BH979" t="s">
        <v>74</v>
      </c>
      <c r="BI979">
        <v>19</v>
      </c>
      <c r="BJ979" t="s">
        <v>3071</v>
      </c>
      <c r="BK979" t="s">
        <v>419</v>
      </c>
      <c r="BL979" t="s">
        <v>3071</v>
      </c>
      <c r="BM979" t="s">
        <v>13068</v>
      </c>
      <c r="BN979" t="s">
        <v>74</v>
      </c>
      <c r="BO979" t="s">
        <v>4667</v>
      </c>
      <c r="BP979" t="s">
        <v>74</v>
      </c>
      <c r="BQ979" t="s">
        <v>74</v>
      </c>
      <c r="BR979" t="s">
        <v>101</v>
      </c>
      <c r="BS979" t="s">
        <v>13069</v>
      </c>
      <c r="BT979" t="str">
        <f>HYPERLINK("https%3A%2F%2Fwww.webofscience.com%2Fwos%2Fwoscc%2Ffull-record%2FWOS:000253406600011","View Full Record in Web of Science")</f>
        <v>View Full Record in Web of Science</v>
      </c>
    </row>
    <row r="980" spans="1:72" x14ac:dyDescent="0.15">
      <c r="A980" t="s">
        <v>72</v>
      </c>
      <c r="B980" t="s">
        <v>13070</v>
      </c>
      <c r="C980" t="s">
        <v>74</v>
      </c>
      <c r="D980" t="s">
        <v>74</v>
      </c>
      <c r="E980" t="s">
        <v>74</v>
      </c>
      <c r="F980" t="s">
        <v>13071</v>
      </c>
      <c r="G980" t="s">
        <v>74</v>
      </c>
      <c r="H980" t="s">
        <v>74</v>
      </c>
      <c r="I980" t="s">
        <v>13072</v>
      </c>
      <c r="J980" t="s">
        <v>13073</v>
      </c>
      <c r="K980" t="s">
        <v>74</v>
      </c>
      <c r="L980" t="s">
        <v>74</v>
      </c>
      <c r="M980" t="s">
        <v>13074</v>
      </c>
      <c r="N980" t="s">
        <v>2737</v>
      </c>
      <c r="O980" t="s">
        <v>74</v>
      </c>
      <c r="P980" t="s">
        <v>74</v>
      </c>
      <c r="Q980" t="s">
        <v>74</v>
      </c>
      <c r="R980" t="s">
        <v>74</v>
      </c>
      <c r="S980" t="s">
        <v>74</v>
      </c>
      <c r="T980" t="s">
        <v>13075</v>
      </c>
      <c r="U980" t="s">
        <v>74</v>
      </c>
      <c r="V980" t="s">
        <v>13076</v>
      </c>
      <c r="W980" t="s">
        <v>13077</v>
      </c>
      <c r="X980" t="s">
        <v>12044</v>
      </c>
      <c r="Y980" t="s">
        <v>13078</v>
      </c>
      <c r="Z980" t="s">
        <v>13079</v>
      </c>
      <c r="AA980" t="s">
        <v>13080</v>
      </c>
      <c r="AB980" t="s">
        <v>13081</v>
      </c>
      <c r="AC980" t="s">
        <v>74</v>
      </c>
      <c r="AD980" t="s">
        <v>74</v>
      </c>
      <c r="AE980" t="s">
        <v>74</v>
      </c>
      <c r="AF980" t="s">
        <v>74</v>
      </c>
      <c r="AG980">
        <v>45</v>
      </c>
      <c r="AH980">
        <v>0</v>
      </c>
      <c r="AI980">
        <v>0</v>
      </c>
      <c r="AJ980">
        <v>0</v>
      </c>
      <c r="AK980">
        <v>1</v>
      </c>
      <c r="AL980" t="s">
        <v>4660</v>
      </c>
      <c r="AM980" t="s">
        <v>4661</v>
      </c>
      <c r="AN980" t="s">
        <v>4662</v>
      </c>
      <c r="AO980" t="s">
        <v>13082</v>
      </c>
      <c r="AP980" t="s">
        <v>13083</v>
      </c>
      <c r="AQ980" t="s">
        <v>74</v>
      </c>
      <c r="AR980" t="s">
        <v>13084</v>
      </c>
      <c r="AS980" t="s">
        <v>13085</v>
      </c>
      <c r="AT980" t="s">
        <v>11917</v>
      </c>
      <c r="AU980">
        <v>2008</v>
      </c>
      <c r="AV980">
        <v>44</v>
      </c>
      <c r="AW980">
        <v>1</v>
      </c>
      <c r="AX980" t="s">
        <v>74</v>
      </c>
      <c r="AY980" t="s">
        <v>74</v>
      </c>
      <c r="AZ980" t="s">
        <v>74</v>
      </c>
      <c r="BA980" t="s">
        <v>74</v>
      </c>
      <c r="BB980">
        <v>15</v>
      </c>
      <c r="BC980">
        <v>31</v>
      </c>
      <c r="BD980" t="s">
        <v>74</v>
      </c>
      <c r="BE980" t="s">
        <v>74</v>
      </c>
      <c r="BF980" t="s">
        <v>74</v>
      </c>
      <c r="BG980" t="s">
        <v>74</v>
      </c>
      <c r="BH980" t="s">
        <v>74</v>
      </c>
      <c r="BI980">
        <v>17</v>
      </c>
      <c r="BJ980" t="s">
        <v>3093</v>
      </c>
      <c r="BK980" t="s">
        <v>3156</v>
      </c>
      <c r="BL980" t="s">
        <v>3094</v>
      </c>
      <c r="BM980" t="s">
        <v>13086</v>
      </c>
      <c r="BN980" t="s">
        <v>74</v>
      </c>
      <c r="BO980" t="s">
        <v>74</v>
      </c>
      <c r="BP980" t="s">
        <v>74</v>
      </c>
      <c r="BQ980" t="s">
        <v>74</v>
      </c>
      <c r="BR980" t="s">
        <v>101</v>
      </c>
      <c r="BS980" t="s">
        <v>13087</v>
      </c>
      <c r="BT980" t="str">
        <f>HYPERLINK("https%3A%2F%2Fwww.webofscience.com%2Fwos%2Fwoscc%2Ffull-record%2FWOS:000453968000003","View Full Record in Web of Science")</f>
        <v>View Full Record in Web of Science</v>
      </c>
    </row>
    <row r="981" spans="1:72" x14ac:dyDescent="0.15">
      <c r="A981" t="s">
        <v>72</v>
      </c>
      <c r="B981" t="s">
        <v>13088</v>
      </c>
      <c r="C981" t="s">
        <v>74</v>
      </c>
      <c r="D981" t="s">
        <v>74</v>
      </c>
      <c r="E981" t="s">
        <v>74</v>
      </c>
      <c r="F981" t="s">
        <v>13089</v>
      </c>
      <c r="G981" t="s">
        <v>74</v>
      </c>
      <c r="H981" t="s">
        <v>74</v>
      </c>
      <c r="I981" t="s">
        <v>13090</v>
      </c>
      <c r="J981" t="s">
        <v>13091</v>
      </c>
      <c r="K981" t="s">
        <v>74</v>
      </c>
      <c r="L981" t="s">
        <v>74</v>
      </c>
      <c r="M981" t="s">
        <v>78</v>
      </c>
      <c r="N981" t="s">
        <v>2737</v>
      </c>
      <c r="O981" t="s">
        <v>74</v>
      </c>
      <c r="P981" t="s">
        <v>74</v>
      </c>
      <c r="Q981" t="s">
        <v>74</v>
      </c>
      <c r="R981" t="s">
        <v>74</v>
      </c>
      <c r="S981" t="s">
        <v>74</v>
      </c>
      <c r="T981" t="s">
        <v>13092</v>
      </c>
      <c r="U981" t="s">
        <v>13093</v>
      </c>
      <c r="V981" t="s">
        <v>13094</v>
      </c>
      <c r="W981" t="s">
        <v>13095</v>
      </c>
      <c r="X981" t="s">
        <v>6765</v>
      </c>
      <c r="Y981" t="s">
        <v>13096</v>
      </c>
      <c r="Z981" t="s">
        <v>13097</v>
      </c>
      <c r="AA981" t="s">
        <v>74</v>
      </c>
      <c r="AB981" t="s">
        <v>74</v>
      </c>
      <c r="AC981" t="s">
        <v>74</v>
      </c>
      <c r="AD981" t="s">
        <v>74</v>
      </c>
      <c r="AE981" t="s">
        <v>74</v>
      </c>
      <c r="AF981" t="s">
        <v>74</v>
      </c>
      <c r="AG981">
        <v>17</v>
      </c>
      <c r="AH981">
        <v>5</v>
      </c>
      <c r="AI981">
        <v>5</v>
      </c>
      <c r="AJ981">
        <v>0</v>
      </c>
      <c r="AK981">
        <v>3</v>
      </c>
      <c r="AL981" t="s">
        <v>2964</v>
      </c>
      <c r="AM981" t="s">
        <v>2747</v>
      </c>
      <c r="AN981" t="s">
        <v>2965</v>
      </c>
      <c r="AO981" t="s">
        <v>13098</v>
      </c>
      <c r="AP981" t="s">
        <v>74</v>
      </c>
      <c r="AQ981" t="s">
        <v>74</v>
      </c>
      <c r="AR981" t="s">
        <v>13099</v>
      </c>
      <c r="AS981" t="s">
        <v>13100</v>
      </c>
      <c r="AT981" t="s">
        <v>11917</v>
      </c>
      <c r="AU981">
        <v>2008</v>
      </c>
      <c r="AV981">
        <v>88</v>
      </c>
      <c r="AW981">
        <v>1</v>
      </c>
      <c r="AX981" t="s">
        <v>74</v>
      </c>
      <c r="AY981" t="s">
        <v>74</v>
      </c>
      <c r="AZ981" t="s">
        <v>74</v>
      </c>
      <c r="BA981" t="s">
        <v>74</v>
      </c>
      <c r="BB981">
        <v>65</v>
      </c>
      <c r="BC981">
        <v>67</v>
      </c>
      <c r="BD981" t="s">
        <v>74</v>
      </c>
      <c r="BE981" t="s">
        <v>13101</v>
      </c>
      <c r="BF981" t="str">
        <f>HYPERLINK("http://dx.doi.org/10.1017/S0025315408000118","http://dx.doi.org/10.1017/S0025315408000118")</f>
        <v>http://dx.doi.org/10.1017/S0025315408000118</v>
      </c>
      <c r="BG981" t="s">
        <v>74</v>
      </c>
      <c r="BH981" t="s">
        <v>74</v>
      </c>
      <c r="BI981">
        <v>3</v>
      </c>
      <c r="BJ981" t="s">
        <v>5035</v>
      </c>
      <c r="BK981" t="s">
        <v>419</v>
      </c>
      <c r="BL981" t="s">
        <v>5035</v>
      </c>
      <c r="BM981" t="s">
        <v>13102</v>
      </c>
      <c r="BN981" t="s">
        <v>74</v>
      </c>
      <c r="BO981" t="s">
        <v>74</v>
      </c>
      <c r="BP981" t="s">
        <v>74</v>
      </c>
      <c r="BQ981" t="s">
        <v>74</v>
      </c>
      <c r="BR981" t="s">
        <v>101</v>
      </c>
      <c r="BS981" t="s">
        <v>13103</v>
      </c>
      <c r="BT981" t="str">
        <f>HYPERLINK("https%3A%2F%2Fwww.webofscience.com%2Fwos%2Fwoscc%2Ffull-record%2FWOS:000254298600007","View Full Record in Web of Science")</f>
        <v>View Full Record in Web of Science</v>
      </c>
    </row>
    <row r="982" spans="1:72" x14ac:dyDescent="0.15">
      <c r="A982" t="s">
        <v>72</v>
      </c>
      <c r="B982" t="s">
        <v>13104</v>
      </c>
      <c r="C982" t="s">
        <v>74</v>
      </c>
      <c r="D982" t="s">
        <v>74</v>
      </c>
      <c r="E982" t="s">
        <v>74</v>
      </c>
      <c r="F982" t="s">
        <v>13105</v>
      </c>
      <c r="G982" t="s">
        <v>74</v>
      </c>
      <c r="H982" t="s">
        <v>74</v>
      </c>
      <c r="I982" t="s">
        <v>13106</v>
      </c>
      <c r="J982" t="s">
        <v>13107</v>
      </c>
      <c r="K982" t="s">
        <v>74</v>
      </c>
      <c r="L982" t="s">
        <v>74</v>
      </c>
      <c r="M982" t="s">
        <v>78</v>
      </c>
      <c r="N982" t="s">
        <v>2737</v>
      </c>
      <c r="O982" t="s">
        <v>74</v>
      </c>
      <c r="P982" t="s">
        <v>74</v>
      </c>
      <c r="Q982" t="s">
        <v>74</v>
      </c>
      <c r="R982" t="s">
        <v>74</v>
      </c>
      <c r="S982" t="s">
        <v>74</v>
      </c>
      <c r="T982" t="s">
        <v>13108</v>
      </c>
      <c r="U982" t="s">
        <v>13109</v>
      </c>
      <c r="V982" t="s">
        <v>13110</v>
      </c>
      <c r="W982" t="s">
        <v>13111</v>
      </c>
      <c r="X982" t="s">
        <v>13112</v>
      </c>
      <c r="Y982" t="s">
        <v>13113</v>
      </c>
      <c r="Z982" t="s">
        <v>13114</v>
      </c>
      <c r="AA982" t="s">
        <v>74</v>
      </c>
      <c r="AB982" t="s">
        <v>74</v>
      </c>
      <c r="AC982" t="s">
        <v>74</v>
      </c>
      <c r="AD982" t="s">
        <v>74</v>
      </c>
      <c r="AE982" t="s">
        <v>74</v>
      </c>
      <c r="AF982" t="s">
        <v>74</v>
      </c>
      <c r="AG982">
        <v>30</v>
      </c>
      <c r="AH982">
        <v>6</v>
      </c>
      <c r="AI982">
        <v>7</v>
      </c>
      <c r="AJ982">
        <v>0</v>
      </c>
      <c r="AK982">
        <v>12</v>
      </c>
      <c r="AL982" t="s">
        <v>4746</v>
      </c>
      <c r="AM982" t="s">
        <v>4747</v>
      </c>
      <c r="AN982" t="s">
        <v>4748</v>
      </c>
      <c r="AO982" t="s">
        <v>13115</v>
      </c>
      <c r="AP982" t="s">
        <v>74</v>
      </c>
      <c r="AQ982" t="s">
        <v>74</v>
      </c>
      <c r="AR982" t="s">
        <v>13107</v>
      </c>
      <c r="AS982" t="s">
        <v>13116</v>
      </c>
      <c r="AT982" t="s">
        <v>11917</v>
      </c>
      <c r="AU982">
        <v>2008</v>
      </c>
      <c r="AV982">
        <v>43</v>
      </c>
      <c r="AW982">
        <v>2</v>
      </c>
      <c r="AX982" t="s">
        <v>74</v>
      </c>
      <c r="AY982" t="s">
        <v>74</v>
      </c>
      <c r="AZ982" t="s">
        <v>74</v>
      </c>
      <c r="BA982" t="s">
        <v>74</v>
      </c>
      <c r="BB982">
        <v>151</v>
      </c>
      <c r="BC982">
        <v>159</v>
      </c>
      <c r="BD982" t="s">
        <v>74</v>
      </c>
      <c r="BE982" t="s">
        <v>13117</v>
      </c>
      <c r="BF982" t="str">
        <f>HYPERLINK("http://dx.doi.org/10.1007/s11745-007-3145-2","http://dx.doi.org/10.1007/s11745-007-3145-2")</f>
        <v>http://dx.doi.org/10.1007/s11745-007-3145-2</v>
      </c>
      <c r="BG982" t="s">
        <v>74</v>
      </c>
      <c r="BH982" t="s">
        <v>74</v>
      </c>
      <c r="BI982">
        <v>9</v>
      </c>
      <c r="BJ982" t="s">
        <v>13118</v>
      </c>
      <c r="BK982" t="s">
        <v>419</v>
      </c>
      <c r="BL982" t="s">
        <v>13118</v>
      </c>
      <c r="BM982" t="s">
        <v>13119</v>
      </c>
      <c r="BN982">
        <v>18188633</v>
      </c>
      <c r="BO982" t="s">
        <v>74</v>
      </c>
      <c r="BP982" t="s">
        <v>74</v>
      </c>
      <c r="BQ982" t="s">
        <v>74</v>
      </c>
      <c r="BR982" t="s">
        <v>101</v>
      </c>
      <c r="BS982" t="s">
        <v>13120</v>
      </c>
      <c r="BT982" t="str">
        <f>HYPERLINK("https%3A%2F%2Fwww.webofscience.com%2Fwos%2Fwoscc%2Ffull-record%2FWOS:000252976800008","View Full Record in Web of Science")</f>
        <v>View Full Record in Web of Science</v>
      </c>
    </row>
    <row r="983" spans="1:72" x14ac:dyDescent="0.15">
      <c r="A983" t="s">
        <v>72</v>
      </c>
      <c r="B983" t="s">
        <v>13121</v>
      </c>
      <c r="C983" t="s">
        <v>74</v>
      </c>
      <c r="D983" t="s">
        <v>74</v>
      </c>
      <c r="E983" t="s">
        <v>74</v>
      </c>
      <c r="F983" t="s">
        <v>13122</v>
      </c>
      <c r="G983" t="s">
        <v>74</v>
      </c>
      <c r="H983" t="s">
        <v>74</v>
      </c>
      <c r="I983" t="s">
        <v>13123</v>
      </c>
      <c r="J983" t="s">
        <v>6817</v>
      </c>
      <c r="K983" t="s">
        <v>74</v>
      </c>
      <c r="L983" t="s">
        <v>74</v>
      </c>
      <c r="M983" t="s">
        <v>78</v>
      </c>
      <c r="N983" t="s">
        <v>2737</v>
      </c>
      <c r="O983" t="s">
        <v>74</v>
      </c>
      <c r="P983" t="s">
        <v>74</v>
      </c>
      <c r="Q983" t="s">
        <v>74</v>
      </c>
      <c r="R983" t="s">
        <v>74</v>
      </c>
      <c r="S983" t="s">
        <v>74</v>
      </c>
      <c r="T983" t="s">
        <v>13124</v>
      </c>
      <c r="U983" t="s">
        <v>13125</v>
      </c>
      <c r="V983" t="s">
        <v>13126</v>
      </c>
      <c r="W983" t="s">
        <v>13127</v>
      </c>
      <c r="X983" t="s">
        <v>13128</v>
      </c>
      <c r="Y983" t="s">
        <v>13129</v>
      </c>
      <c r="Z983" t="s">
        <v>13130</v>
      </c>
      <c r="AA983" t="s">
        <v>13131</v>
      </c>
      <c r="AB983" t="s">
        <v>13132</v>
      </c>
      <c r="AC983" t="s">
        <v>74</v>
      </c>
      <c r="AD983" t="s">
        <v>74</v>
      </c>
      <c r="AE983" t="s">
        <v>74</v>
      </c>
      <c r="AF983" t="s">
        <v>74</v>
      </c>
      <c r="AG983">
        <v>68</v>
      </c>
      <c r="AH983">
        <v>38</v>
      </c>
      <c r="AI983">
        <v>40</v>
      </c>
      <c r="AJ983">
        <v>0</v>
      </c>
      <c r="AK983">
        <v>13</v>
      </c>
      <c r="AL983" t="s">
        <v>5781</v>
      </c>
      <c r="AM983" t="s">
        <v>5782</v>
      </c>
      <c r="AN983" t="s">
        <v>5783</v>
      </c>
      <c r="AO983" t="s">
        <v>6827</v>
      </c>
      <c r="AP983" t="s">
        <v>13133</v>
      </c>
      <c r="AQ983" t="s">
        <v>74</v>
      </c>
      <c r="AR983" t="s">
        <v>6828</v>
      </c>
      <c r="AS983" t="s">
        <v>6829</v>
      </c>
      <c r="AT983" t="s">
        <v>11917</v>
      </c>
      <c r="AU983">
        <v>2008</v>
      </c>
      <c r="AV983">
        <v>46</v>
      </c>
      <c r="AW983">
        <v>2</v>
      </c>
      <c r="AX983" t="s">
        <v>74</v>
      </c>
      <c r="AY983" t="s">
        <v>74</v>
      </c>
      <c r="AZ983" t="s">
        <v>74</v>
      </c>
      <c r="BA983" t="s">
        <v>74</v>
      </c>
      <c r="BB983">
        <v>606</v>
      </c>
      <c r="BC983">
        <v>618</v>
      </c>
      <c r="BD983" t="s">
        <v>74</v>
      </c>
      <c r="BE983" t="s">
        <v>13134</v>
      </c>
      <c r="BF983" t="str">
        <f>HYPERLINK("http://dx.doi.org/10.1016/j.ympev.2007.10.003","http://dx.doi.org/10.1016/j.ympev.2007.10.003")</f>
        <v>http://dx.doi.org/10.1016/j.ympev.2007.10.003</v>
      </c>
      <c r="BG983" t="s">
        <v>74</v>
      </c>
      <c r="BH983" t="s">
        <v>74</v>
      </c>
      <c r="BI983">
        <v>13</v>
      </c>
      <c r="BJ983" t="s">
        <v>5092</v>
      </c>
      <c r="BK983" t="s">
        <v>419</v>
      </c>
      <c r="BL983" t="s">
        <v>5092</v>
      </c>
      <c r="BM983" t="s">
        <v>13135</v>
      </c>
      <c r="BN983">
        <v>18024177</v>
      </c>
      <c r="BO983" t="s">
        <v>74</v>
      </c>
      <c r="BP983" t="s">
        <v>74</v>
      </c>
      <c r="BQ983" t="s">
        <v>74</v>
      </c>
      <c r="BR983" t="s">
        <v>101</v>
      </c>
      <c r="BS983" t="s">
        <v>13136</v>
      </c>
      <c r="BT983" t="str">
        <f>HYPERLINK("https%3A%2F%2Fwww.webofscience.com%2Fwos%2Fwoscc%2Ffull-record%2FWOS:000254133600015","View Full Record in Web of Science")</f>
        <v>View Full Record in Web of Science</v>
      </c>
    </row>
    <row r="984" spans="1:72" x14ac:dyDescent="0.15">
      <c r="A984" t="s">
        <v>72</v>
      </c>
      <c r="B984" t="s">
        <v>13137</v>
      </c>
      <c r="C984" t="s">
        <v>74</v>
      </c>
      <c r="D984" t="s">
        <v>74</v>
      </c>
      <c r="E984" t="s">
        <v>74</v>
      </c>
      <c r="F984" t="s">
        <v>13138</v>
      </c>
      <c r="G984" t="s">
        <v>74</v>
      </c>
      <c r="H984" t="s">
        <v>74</v>
      </c>
      <c r="I984" t="s">
        <v>13139</v>
      </c>
      <c r="J984" t="s">
        <v>6836</v>
      </c>
      <c r="K984" t="s">
        <v>74</v>
      </c>
      <c r="L984" t="s">
        <v>74</v>
      </c>
      <c r="M984" t="s">
        <v>78</v>
      </c>
      <c r="N984" t="s">
        <v>2737</v>
      </c>
      <c r="O984" t="s">
        <v>74</v>
      </c>
      <c r="P984" t="s">
        <v>74</v>
      </c>
      <c r="Q984" t="s">
        <v>74</v>
      </c>
      <c r="R984" t="s">
        <v>74</v>
      </c>
      <c r="S984" t="s">
        <v>74</v>
      </c>
      <c r="T984" t="s">
        <v>74</v>
      </c>
      <c r="U984" t="s">
        <v>13140</v>
      </c>
      <c r="V984" t="s">
        <v>13141</v>
      </c>
      <c r="W984" t="s">
        <v>13142</v>
      </c>
      <c r="X984" t="s">
        <v>13143</v>
      </c>
      <c r="Y984" t="s">
        <v>3300</v>
      </c>
      <c r="Z984" t="s">
        <v>3301</v>
      </c>
      <c r="AA984" t="s">
        <v>13144</v>
      </c>
      <c r="AB984" t="s">
        <v>13145</v>
      </c>
      <c r="AC984" t="s">
        <v>13146</v>
      </c>
      <c r="AD984" t="s">
        <v>13147</v>
      </c>
      <c r="AE984" t="s">
        <v>74</v>
      </c>
      <c r="AF984" t="s">
        <v>74</v>
      </c>
      <c r="AG984">
        <v>27</v>
      </c>
      <c r="AH984">
        <v>705</v>
      </c>
      <c r="AI984">
        <v>812</v>
      </c>
      <c r="AJ984">
        <v>2</v>
      </c>
      <c r="AK984">
        <v>301</v>
      </c>
      <c r="AL984" t="s">
        <v>3549</v>
      </c>
      <c r="AM984" t="s">
        <v>2747</v>
      </c>
      <c r="AN984" t="s">
        <v>6847</v>
      </c>
      <c r="AO984" t="s">
        <v>6848</v>
      </c>
      <c r="AP984" t="s">
        <v>6849</v>
      </c>
      <c r="AQ984" t="s">
        <v>74</v>
      </c>
      <c r="AR984" t="s">
        <v>6850</v>
      </c>
      <c r="AS984" t="s">
        <v>6851</v>
      </c>
      <c r="AT984" t="s">
        <v>11917</v>
      </c>
      <c r="AU984">
        <v>2008</v>
      </c>
      <c r="AV984">
        <v>1</v>
      </c>
      <c r="AW984">
        <v>2</v>
      </c>
      <c r="AX984" t="s">
        <v>74</v>
      </c>
      <c r="AY984" t="s">
        <v>74</v>
      </c>
      <c r="AZ984" t="s">
        <v>74</v>
      </c>
      <c r="BA984" t="s">
        <v>74</v>
      </c>
      <c r="BB984">
        <v>106</v>
      </c>
      <c r="BC984">
        <v>110</v>
      </c>
      <c r="BD984" t="s">
        <v>74</v>
      </c>
      <c r="BE984" t="s">
        <v>13148</v>
      </c>
      <c r="BF984" t="str">
        <f>HYPERLINK("http://dx.doi.org/10.1038/ngeo102","http://dx.doi.org/10.1038/ngeo102")</f>
        <v>http://dx.doi.org/10.1038/ngeo102</v>
      </c>
      <c r="BG984" t="s">
        <v>74</v>
      </c>
      <c r="BH984" t="s">
        <v>74</v>
      </c>
      <c r="BI984">
        <v>5</v>
      </c>
      <c r="BJ984" t="s">
        <v>3093</v>
      </c>
      <c r="BK984" t="s">
        <v>419</v>
      </c>
      <c r="BL984" t="s">
        <v>3094</v>
      </c>
      <c r="BM984" t="s">
        <v>13149</v>
      </c>
      <c r="BN984" t="s">
        <v>74</v>
      </c>
      <c r="BO984" t="s">
        <v>3311</v>
      </c>
      <c r="BP984" t="s">
        <v>74</v>
      </c>
      <c r="BQ984" t="s">
        <v>74</v>
      </c>
      <c r="BR984" t="s">
        <v>101</v>
      </c>
      <c r="BS984" t="s">
        <v>13150</v>
      </c>
      <c r="BT984" t="str">
        <f>HYPERLINK("https%3A%2F%2Fwww.webofscience.com%2Fwos%2Fwoscc%2Ffull-record%2FWOS:000256433300013","View Full Record in Web of Science")</f>
        <v>View Full Record in Web of Science</v>
      </c>
    </row>
    <row r="985" spans="1:72" x14ac:dyDescent="0.15">
      <c r="A985" t="s">
        <v>72</v>
      </c>
      <c r="B985" t="s">
        <v>13151</v>
      </c>
      <c r="C985" t="s">
        <v>74</v>
      </c>
      <c r="D985" t="s">
        <v>74</v>
      </c>
      <c r="E985" t="s">
        <v>74</v>
      </c>
      <c r="F985" t="s">
        <v>13152</v>
      </c>
      <c r="G985" t="s">
        <v>74</v>
      </c>
      <c r="H985" t="s">
        <v>74</v>
      </c>
      <c r="I985" t="s">
        <v>13153</v>
      </c>
      <c r="J985" t="s">
        <v>6836</v>
      </c>
      <c r="K985" t="s">
        <v>74</v>
      </c>
      <c r="L985" t="s">
        <v>74</v>
      </c>
      <c r="M985" t="s">
        <v>78</v>
      </c>
      <c r="N985" t="s">
        <v>2737</v>
      </c>
      <c r="O985" t="s">
        <v>74</v>
      </c>
      <c r="P985" t="s">
        <v>74</v>
      </c>
      <c r="Q985" t="s">
        <v>74</v>
      </c>
      <c r="R985" t="s">
        <v>74</v>
      </c>
      <c r="S985" t="s">
        <v>74</v>
      </c>
      <c r="T985" t="s">
        <v>74</v>
      </c>
      <c r="U985" t="s">
        <v>13154</v>
      </c>
      <c r="V985" t="s">
        <v>13155</v>
      </c>
      <c r="W985" t="s">
        <v>13156</v>
      </c>
      <c r="X985" t="s">
        <v>2786</v>
      </c>
      <c r="Y985" t="s">
        <v>13157</v>
      </c>
      <c r="Z985" t="s">
        <v>13158</v>
      </c>
      <c r="AA985" t="s">
        <v>13159</v>
      </c>
      <c r="AB985" t="s">
        <v>13160</v>
      </c>
      <c r="AC985" t="s">
        <v>13161</v>
      </c>
      <c r="AD985" t="s">
        <v>13162</v>
      </c>
      <c r="AE985" t="s">
        <v>74</v>
      </c>
      <c r="AF985" t="s">
        <v>74</v>
      </c>
      <c r="AG985">
        <v>29</v>
      </c>
      <c r="AH985">
        <v>61</v>
      </c>
      <c r="AI985">
        <v>70</v>
      </c>
      <c r="AJ985">
        <v>0</v>
      </c>
      <c r="AK985">
        <v>33</v>
      </c>
      <c r="AL985" t="s">
        <v>3549</v>
      </c>
      <c r="AM985" t="s">
        <v>2747</v>
      </c>
      <c r="AN985" t="s">
        <v>6847</v>
      </c>
      <c r="AO985" t="s">
        <v>6848</v>
      </c>
      <c r="AP985" t="s">
        <v>6849</v>
      </c>
      <c r="AQ985" t="s">
        <v>74</v>
      </c>
      <c r="AR985" t="s">
        <v>6850</v>
      </c>
      <c r="AS985" t="s">
        <v>6851</v>
      </c>
      <c r="AT985" t="s">
        <v>11917</v>
      </c>
      <c r="AU985">
        <v>2008</v>
      </c>
      <c r="AV985">
        <v>1</v>
      </c>
      <c r="AW985">
        <v>2</v>
      </c>
      <c r="AX985" t="s">
        <v>74</v>
      </c>
      <c r="AY985" t="s">
        <v>74</v>
      </c>
      <c r="AZ985" t="s">
        <v>74</v>
      </c>
      <c r="BA985" t="s">
        <v>74</v>
      </c>
      <c r="BB985">
        <v>122</v>
      </c>
      <c r="BC985">
        <v>125</v>
      </c>
      <c r="BD985" t="s">
        <v>74</v>
      </c>
      <c r="BE985" t="s">
        <v>13163</v>
      </c>
      <c r="BF985" t="str">
        <f>HYPERLINK("http://dx.doi.org/10.1038/ngeo106","http://dx.doi.org/10.1038/ngeo106")</f>
        <v>http://dx.doi.org/10.1038/ngeo106</v>
      </c>
      <c r="BG985" t="s">
        <v>74</v>
      </c>
      <c r="BH985" t="s">
        <v>74</v>
      </c>
      <c r="BI985">
        <v>4</v>
      </c>
      <c r="BJ985" t="s">
        <v>3093</v>
      </c>
      <c r="BK985" t="s">
        <v>419</v>
      </c>
      <c r="BL985" t="s">
        <v>3094</v>
      </c>
      <c r="BM985" t="s">
        <v>13149</v>
      </c>
      <c r="BN985" t="s">
        <v>74</v>
      </c>
      <c r="BO985" t="s">
        <v>74</v>
      </c>
      <c r="BP985" t="s">
        <v>74</v>
      </c>
      <c r="BQ985" t="s">
        <v>74</v>
      </c>
      <c r="BR985" t="s">
        <v>101</v>
      </c>
      <c r="BS985" t="s">
        <v>13164</v>
      </c>
      <c r="BT985" t="str">
        <f>HYPERLINK("https%3A%2F%2Fwww.webofscience.com%2Fwos%2Fwoscc%2Ffull-record%2FWOS:000256433300017","View Full Record in Web of Science")</f>
        <v>View Full Record in Web of Science</v>
      </c>
    </row>
    <row r="986" spans="1:72" x14ac:dyDescent="0.15">
      <c r="A986" t="s">
        <v>72</v>
      </c>
      <c r="B986" t="s">
        <v>13165</v>
      </c>
      <c r="C986" t="s">
        <v>74</v>
      </c>
      <c r="D986" t="s">
        <v>74</v>
      </c>
      <c r="E986" t="s">
        <v>74</v>
      </c>
      <c r="F986" t="s">
        <v>13166</v>
      </c>
      <c r="G986" t="s">
        <v>74</v>
      </c>
      <c r="H986" t="s">
        <v>74</v>
      </c>
      <c r="I986" t="s">
        <v>13167</v>
      </c>
      <c r="J986" t="s">
        <v>13168</v>
      </c>
      <c r="K986" t="s">
        <v>74</v>
      </c>
      <c r="L986" t="s">
        <v>74</v>
      </c>
      <c r="M986" t="s">
        <v>78</v>
      </c>
      <c r="N986" t="s">
        <v>2737</v>
      </c>
      <c r="O986" t="s">
        <v>74</v>
      </c>
      <c r="P986" t="s">
        <v>74</v>
      </c>
      <c r="Q986" t="s">
        <v>74</v>
      </c>
      <c r="R986" t="s">
        <v>74</v>
      </c>
      <c r="S986" t="s">
        <v>74</v>
      </c>
      <c r="T986" t="s">
        <v>13169</v>
      </c>
      <c r="U986" t="s">
        <v>13170</v>
      </c>
      <c r="V986" t="s">
        <v>13171</v>
      </c>
      <c r="W986" t="s">
        <v>13172</v>
      </c>
      <c r="X986" t="s">
        <v>13173</v>
      </c>
      <c r="Y986" t="s">
        <v>13174</v>
      </c>
      <c r="Z986" t="s">
        <v>13175</v>
      </c>
      <c r="AA986" t="s">
        <v>13176</v>
      </c>
      <c r="AB986" t="s">
        <v>13177</v>
      </c>
      <c r="AC986" t="s">
        <v>74</v>
      </c>
      <c r="AD986" t="s">
        <v>74</v>
      </c>
      <c r="AE986" t="s">
        <v>74</v>
      </c>
      <c r="AF986" t="s">
        <v>74</v>
      </c>
      <c r="AG986">
        <v>54</v>
      </c>
      <c r="AH986">
        <v>54</v>
      </c>
      <c r="AI986">
        <v>56</v>
      </c>
      <c r="AJ986">
        <v>0</v>
      </c>
      <c r="AK986">
        <v>12</v>
      </c>
      <c r="AL986" t="s">
        <v>5781</v>
      </c>
      <c r="AM986" t="s">
        <v>5782</v>
      </c>
      <c r="AN986" t="s">
        <v>5783</v>
      </c>
      <c r="AO986" t="s">
        <v>13178</v>
      </c>
      <c r="AP986" t="s">
        <v>74</v>
      </c>
      <c r="AQ986" t="s">
        <v>74</v>
      </c>
      <c r="AR986" t="s">
        <v>13179</v>
      </c>
      <c r="AS986" t="s">
        <v>13180</v>
      </c>
      <c r="AT986" t="s">
        <v>11917</v>
      </c>
      <c r="AU986">
        <v>2008</v>
      </c>
      <c r="AV986">
        <v>18</v>
      </c>
      <c r="AW986">
        <v>1</v>
      </c>
      <c r="AX986" t="s">
        <v>74</v>
      </c>
      <c r="AY986" t="s">
        <v>74</v>
      </c>
      <c r="AZ986" t="s">
        <v>74</v>
      </c>
      <c r="BA986" t="s">
        <v>74</v>
      </c>
      <c r="BB986">
        <v>1</v>
      </c>
      <c r="BC986">
        <v>10</v>
      </c>
      <c r="BD986" t="s">
        <v>74</v>
      </c>
      <c r="BE986" t="s">
        <v>13181</v>
      </c>
      <c r="BF986" t="str">
        <f>HYPERLINK("http://dx.doi.org/10.1016/j.niox.2007.10.004","http://dx.doi.org/10.1016/j.niox.2007.10.004")</f>
        <v>http://dx.doi.org/10.1016/j.niox.2007.10.004</v>
      </c>
      <c r="BG986" t="s">
        <v>74</v>
      </c>
      <c r="BH986" t="s">
        <v>74</v>
      </c>
      <c r="BI986">
        <v>10</v>
      </c>
      <c r="BJ986" t="s">
        <v>7098</v>
      </c>
      <c r="BK986" t="s">
        <v>419</v>
      </c>
      <c r="BL986" t="s">
        <v>7098</v>
      </c>
      <c r="BM986" t="s">
        <v>13182</v>
      </c>
      <c r="BN986">
        <v>18022402</v>
      </c>
      <c r="BO986" t="s">
        <v>74</v>
      </c>
      <c r="BP986" t="s">
        <v>74</v>
      </c>
      <c r="BQ986" t="s">
        <v>74</v>
      </c>
      <c r="BR986" t="s">
        <v>101</v>
      </c>
      <c r="BS986" t="s">
        <v>13183</v>
      </c>
      <c r="BT986" t="str">
        <f>HYPERLINK("https%3A%2F%2Fwww.webofscience.com%2Fwos%2Fwoscc%2Ffull-record%2FWOS:000252608600001","View Full Record in Web of Science")</f>
        <v>View Full Record in Web of Science</v>
      </c>
    </row>
    <row r="987" spans="1:72" x14ac:dyDescent="0.15">
      <c r="A987" t="s">
        <v>72</v>
      </c>
      <c r="B987" t="s">
        <v>13184</v>
      </c>
      <c r="C987" t="s">
        <v>74</v>
      </c>
      <c r="D987" t="s">
        <v>74</v>
      </c>
      <c r="E987" t="s">
        <v>74</v>
      </c>
      <c r="F987" t="s">
        <v>13185</v>
      </c>
      <c r="G987" t="s">
        <v>74</v>
      </c>
      <c r="H987" t="s">
        <v>74</v>
      </c>
      <c r="I987" t="s">
        <v>13186</v>
      </c>
      <c r="J987" t="s">
        <v>5117</v>
      </c>
      <c r="K987" t="s">
        <v>74</v>
      </c>
      <c r="L987" t="s">
        <v>74</v>
      </c>
      <c r="M987" t="s">
        <v>78</v>
      </c>
      <c r="N987" t="s">
        <v>2737</v>
      </c>
      <c r="O987" t="s">
        <v>74</v>
      </c>
      <c r="P987" t="s">
        <v>74</v>
      </c>
      <c r="Q987" t="s">
        <v>74</v>
      </c>
      <c r="R987" t="s">
        <v>74</v>
      </c>
      <c r="S987" t="s">
        <v>74</v>
      </c>
      <c r="T987" t="s">
        <v>74</v>
      </c>
      <c r="U987" t="s">
        <v>74</v>
      </c>
      <c r="V987" t="s">
        <v>13187</v>
      </c>
      <c r="W987" t="s">
        <v>13188</v>
      </c>
      <c r="X987" t="s">
        <v>13189</v>
      </c>
      <c r="Y987" t="s">
        <v>13190</v>
      </c>
      <c r="Z987" t="s">
        <v>13191</v>
      </c>
      <c r="AA987" t="s">
        <v>13192</v>
      </c>
      <c r="AB987" t="s">
        <v>13193</v>
      </c>
      <c r="AC987" t="s">
        <v>74</v>
      </c>
      <c r="AD987" t="s">
        <v>74</v>
      </c>
      <c r="AE987" t="s">
        <v>74</v>
      </c>
      <c r="AF987" t="s">
        <v>74</v>
      </c>
      <c r="AG987">
        <v>13</v>
      </c>
      <c r="AH987">
        <v>8</v>
      </c>
      <c r="AI987">
        <v>8</v>
      </c>
      <c r="AJ987">
        <v>0</v>
      </c>
      <c r="AK987">
        <v>3</v>
      </c>
      <c r="AL987" t="s">
        <v>4724</v>
      </c>
      <c r="AM987" t="s">
        <v>2747</v>
      </c>
      <c r="AN987" t="s">
        <v>4725</v>
      </c>
      <c r="AO987" t="s">
        <v>5125</v>
      </c>
      <c r="AP987" t="s">
        <v>5126</v>
      </c>
      <c r="AQ987" t="s">
        <v>74</v>
      </c>
      <c r="AR987" t="s">
        <v>5127</v>
      </c>
      <c r="AS987" t="s">
        <v>5128</v>
      </c>
      <c r="AT987" t="s">
        <v>11917</v>
      </c>
      <c r="AU987">
        <v>2008</v>
      </c>
      <c r="AV987">
        <v>48</v>
      </c>
      <c r="AW987">
        <v>1</v>
      </c>
      <c r="AX987" t="s">
        <v>74</v>
      </c>
      <c r="AY987" t="s">
        <v>74</v>
      </c>
      <c r="AZ987" t="s">
        <v>74</v>
      </c>
      <c r="BA987" t="s">
        <v>74</v>
      </c>
      <c r="BB987">
        <v>7</v>
      </c>
      <c r="BC987">
        <v>14</v>
      </c>
      <c r="BD987" t="s">
        <v>74</v>
      </c>
      <c r="BE987" t="s">
        <v>13194</v>
      </c>
      <c r="BF987" t="str">
        <f>HYPERLINK("http://dx.doi.org/10.1134/S0001437008010025","http://dx.doi.org/10.1134/S0001437008010025")</f>
        <v>http://dx.doi.org/10.1134/S0001437008010025</v>
      </c>
      <c r="BG987" t="s">
        <v>74</v>
      </c>
      <c r="BH987" t="s">
        <v>74</v>
      </c>
      <c r="BI987">
        <v>8</v>
      </c>
      <c r="BJ987" t="s">
        <v>3447</v>
      </c>
      <c r="BK987" t="s">
        <v>419</v>
      </c>
      <c r="BL987" t="s">
        <v>3447</v>
      </c>
      <c r="BM987" t="s">
        <v>13195</v>
      </c>
      <c r="BN987" t="s">
        <v>74</v>
      </c>
      <c r="BO987" t="s">
        <v>74</v>
      </c>
      <c r="BP987" t="s">
        <v>74</v>
      </c>
      <c r="BQ987" t="s">
        <v>74</v>
      </c>
      <c r="BR987" t="s">
        <v>101</v>
      </c>
      <c r="BS987" t="s">
        <v>13196</v>
      </c>
      <c r="BT987" t="str">
        <f>HYPERLINK("https%3A%2F%2Fwww.webofscience.com%2Fwos%2Fwoscc%2Ffull-record%2FWOS:000254440300002","View Full Record in Web of Science")</f>
        <v>View Full Record in Web of Science</v>
      </c>
    </row>
    <row r="988" spans="1:72" x14ac:dyDescent="0.15">
      <c r="A988" t="s">
        <v>72</v>
      </c>
      <c r="B988" t="s">
        <v>13197</v>
      </c>
      <c r="C988" t="s">
        <v>74</v>
      </c>
      <c r="D988" t="s">
        <v>74</v>
      </c>
      <c r="E988" t="s">
        <v>74</v>
      </c>
      <c r="F988" t="s">
        <v>13198</v>
      </c>
      <c r="G988" t="s">
        <v>74</v>
      </c>
      <c r="H988" t="s">
        <v>74</v>
      </c>
      <c r="I988" t="s">
        <v>13199</v>
      </c>
      <c r="J988" t="s">
        <v>9032</v>
      </c>
      <c r="K988" t="s">
        <v>74</v>
      </c>
      <c r="L988" t="s">
        <v>74</v>
      </c>
      <c r="M988" t="s">
        <v>78</v>
      </c>
      <c r="N988" t="s">
        <v>2737</v>
      </c>
      <c r="O988" t="s">
        <v>74</v>
      </c>
      <c r="P988" t="s">
        <v>74</v>
      </c>
      <c r="Q988" t="s">
        <v>74</v>
      </c>
      <c r="R988" t="s">
        <v>74</v>
      </c>
      <c r="S988" t="s">
        <v>74</v>
      </c>
      <c r="T988" t="s">
        <v>13200</v>
      </c>
      <c r="U988" t="s">
        <v>13201</v>
      </c>
      <c r="V988" t="s">
        <v>13202</v>
      </c>
      <c r="W988" t="s">
        <v>13203</v>
      </c>
      <c r="X988" t="s">
        <v>13204</v>
      </c>
      <c r="Y988" t="s">
        <v>13205</v>
      </c>
      <c r="Z988" t="s">
        <v>13206</v>
      </c>
      <c r="AA988" t="s">
        <v>13207</v>
      </c>
      <c r="AB988" t="s">
        <v>13208</v>
      </c>
      <c r="AC988" t="s">
        <v>74</v>
      </c>
      <c r="AD988" t="s">
        <v>74</v>
      </c>
      <c r="AE988" t="s">
        <v>74</v>
      </c>
      <c r="AF988" t="s">
        <v>74</v>
      </c>
      <c r="AG988">
        <v>49</v>
      </c>
      <c r="AH988">
        <v>68</v>
      </c>
      <c r="AI988">
        <v>76</v>
      </c>
      <c r="AJ988">
        <v>1</v>
      </c>
      <c r="AK988">
        <v>35</v>
      </c>
      <c r="AL988" t="s">
        <v>2746</v>
      </c>
      <c r="AM988" t="s">
        <v>2747</v>
      </c>
      <c r="AN988" t="s">
        <v>2924</v>
      </c>
      <c r="AO988" t="s">
        <v>9041</v>
      </c>
      <c r="AP988" t="s">
        <v>13209</v>
      </c>
      <c r="AQ988" t="s">
        <v>74</v>
      </c>
      <c r="AR988" t="s">
        <v>9032</v>
      </c>
      <c r="AS988" t="s">
        <v>9042</v>
      </c>
      <c r="AT988" t="s">
        <v>11917</v>
      </c>
      <c r="AU988">
        <v>2008</v>
      </c>
      <c r="AV988">
        <v>155</v>
      </c>
      <c r="AW988">
        <v>1</v>
      </c>
      <c r="AX988" t="s">
        <v>74</v>
      </c>
      <c r="AY988" t="s">
        <v>74</v>
      </c>
      <c r="AZ988" t="s">
        <v>74</v>
      </c>
      <c r="BA988" t="s">
        <v>74</v>
      </c>
      <c r="BB988">
        <v>11</v>
      </c>
      <c r="BC988">
        <v>20</v>
      </c>
      <c r="BD988" t="s">
        <v>74</v>
      </c>
      <c r="BE988" t="s">
        <v>13210</v>
      </c>
      <c r="BF988" t="str">
        <f>HYPERLINK("http://dx.doi.org/10.1007/s00442-007-0888-7","http://dx.doi.org/10.1007/s00442-007-0888-7")</f>
        <v>http://dx.doi.org/10.1007/s00442-007-0888-7</v>
      </c>
      <c r="BG988" t="s">
        <v>74</v>
      </c>
      <c r="BH988" t="s">
        <v>74</v>
      </c>
      <c r="BI988">
        <v>10</v>
      </c>
      <c r="BJ988" t="s">
        <v>8600</v>
      </c>
      <c r="BK988" t="s">
        <v>419</v>
      </c>
      <c r="BL988" t="s">
        <v>2972</v>
      </c>
      <c r="BM988" t="s">
        <v>13211</v>
      </c>
      <c r="BN988">
        <v>17985158</v>
      </c>
      <c r="BO988" t="s">
        <v>4388</v>
      </c>
      <c r="BP988" t="s">
        <v>74</v>
      </c>
      <c r="BQ988" t="s">
        <v>74</v>
      </c>
      <c r="BR988" t="s">
        <v>101</v>
      </c>
      <c r="BS988" t="s">
        <v>13212</v>
      </c>
      <c r="BT988" t="str">
        <f>HYPERLINK("https%3A%2F%2Fwww.webofscience.com%2Fwos%2Fwoscc%2Ffull-record%2FWOS:000252640000002","View Full Record in Web of Science")</f>
        <v>View Full Record in Web of Science</v>
      </c>
    </row>
    <row r="989" spans="1:72" x14ac:dyDescent="0.15">
      <c r="A989" t="s">
        <v>72</v>
      </c>
      <c r="B989" t="s">
        <v>13213</v>
      </c>
      <c r="C989" t="s">
        <v>74</v>
      </c>
      <c r="D989" t="s">
        <v>74</v>
      </c>
      <c r="E989" t="s">
        <v>74</v>
      </c>
      <c r="F989" t="s">
        <v>13214</v>
      </c>
      <c r="G989" t="s">
        <v>74</v>
      </c>
      <c r="H989" t="s">
        <v>74</v>
      </c>
      <c r="I989" t="s">
        <v>13215</v>
      </c>
      <c r="J989" t="s">
        <v>13216</v>
      </c>
      <c r="K989" t="s">
        <v>74</v>
      </c>
      <c r="L989" t="s">
        <v>74</v>
      </c>
      <c r="M989" t="s">
        <v>78</v>
      </c>
      <c r="N989" t="s">
        <v>2737</v>
      </c>
      <c r="O989" t="s">
        <v>74</v>
      </c>
      <c r="P989" t="s">
        <v>74</v>
      </c>
      <c r="Q989" t="s">
        <v>74</v>
      </c>
      <c r="R989" t="s">
        <v>74</v>
      </c>
      <c r="S989" t="s">
        <v>74</v>
      </c>
      <c r="T989" t="s">
        <v>13217</v>
      </c>
      <c r="U989" t="s">
        <v>13218</v>
      </c>
      <c r="V989" t="s">
        <v>13219</v>
      </c>
      <c r="W989" t="s">
        <v>13220</v>
      </c>
      <c r="X989" t="s">
        <v>13221</v>
      </c>
      <c r="Y989" t="s">
        <v>13222</v>
      </c>
      <c r="Z989" t="s">
        <v>13223</v>
      </c>
      <c r="AA989" t="s">
        <v>13224</v>
      </c>
      <c r="AB989" t="s">
        <v>13225</v>
      </c>
      <c r="AC989" t="s">
        <v>74</v>
      </c>
      <c r="AD989" t="s">
        <v>74</v>
      </c>
      <c r="AE989" t="s">
        <v>74</v>
      </c>
      <c r="AF989" t="s">
        <v>74</v>
      </c>
      <c r="AG989">
        <v>63</v>
      </c>
      <c r="AH989">
        <v>93</v>
      </c>
      <c r="AI989">
        <v>104</v>
      </c>
      <c r="AJ989">
        <v>1</v>
      </c>
      <c r="AK989">
        <v>50</v>
      </c>
      <c r="AL989" t="s">
        <v>2746</v>
      </c>
      <c r="AM989" t="s">
        <v>2793</v>
      </c>
      <c r="AN989" t="s">
        <v>2794</v>
      </c>
      <c r="AO989" t="s">
        <v>13226</v>
      </c>
      <c r="AP989" t="s">
        <v>13227</v>
      </c>
      <c r="AQ989" t="s">
        <v>74</v>
      </c>
      <c r="AR989" t="s">
        <v>13228</v>
      </c>
      <c r="AS989" t="s">
        <v>13229</v>
      </c>
      <c r="AT989" t="s">
        <v>11917</v>
      </c>
      <c r="AU989">
        <v>2008</v>
      </c>
      <c r="AV989">
        <v>38</v>
      </c>
      <c r="AW989">
        <v>1</v>
      </c>
      <c r="AX989" t="s">
        <v>74</v>
      </c>
      <c r="AY989" t="s">
        <v>74</v>
      </c>
      <c r="AZ989" t="s">
        <v>74</v>
      </c>
      <c r="BA989" t="s">
        <v>74</v>
      </c>
      <c r="BB989">
        <v>5</v>
      </c>
      <c r="BC989">
        <v>21</v>
      </c>
      <c r="BD989" t="s">
        <v>74</v>
      </c>
      <c r="BE989" t="s">
        <v>13230</v>
      </c>
      <c r="BF989" t="str">
        <f>HYPERLINK("http://dx.doi.org/10.1007/s11084-007-9110-5","http://dx.doi.org/10.1007/s11084-007-9110-5")</f>
        <v>http://dx.doi.org/10.1007/s11084-007-9110-5</v>
      </c>
      <c r="BG989" t="s">
        <v>74</v>
      </c>
      <c r="BH989" t="s">
        <v>74</v>
      </c>
      <c r="BI989">
        <v>17</v>
      </c>
      <c r="BJ989" t="s">
        <v>4890</v>
      </c>
      <c r="BK989" t="s">
        <v>419</v>
      </c>
      <c r="BL989" t="s">
        <v>4891</v>
      </c>
      <c r="BM989" t="s">
        <v>13231</v>
      </c>
      <c r="BN989">
        <v>17846915</v>
      </c>
      <c r="BO989" t="s">
        <v>74</v>
      </c>
      <c r="BP989" t="s">
        <v>74</v>
      </c>
      <c r="BQ989" t="s">
        <v>74</v>
      </c>
      <c r="BR989" t="s">
        <v>101</v>
      </c>
      <c r="BS989" t="s">
        <v>13232</v>
      </c>
      <c r="BT989" t="str">
        <f>HYPERLINK("https%3A%2F%2Fwww.webofscience.com%2Fwos%2Fwoscc%2Ffull-record%2FWOS:000252389400002","View Full Record in Web of Science")</f>
        <v>View Full Record in Web of Science</v>
      </c>
    </row>
    <row r="990" spans="1:72" x14ac:dyDescent="0.15">
      <c r="A990" t="s">
        <v>72</v>
      </c>
      <c r="B990" t="s">
        <v>13233</v>
      </c>
      <c r="C990" t="s">
        <v>74</v>
      </c>
      <c r="D990" t="s">
        <v>74</v>
      </c>
      <c r="E990" t="s">
        <v>74</v>
      </c>
      <c r="F990" t="s">
        <v>13234</v>
      </c>
      <c r="G990" t="s">
        <v>74</v>
      </c>
      <c r="H990" t="s">
        <v>74</v>
      </c>
      <c r="I990" t="s">
        <v>13235</v>
      </c>
      <c r="J990" t="s">
        <v>2883</v>
      </c>
      <c r="K990" t="s">
        <v>74</v>
      </c>
      <c r="L990" t="s">
        <v>74</v>
      </c>
      <c r="M990" t="s">
        <v>78</v>
      </c>
      <c r="N990" t="s">
        <v>2737</v>
      </c>
      <c r="O990" t="s">
        <v>74</v>
      </c>
      <c r="P990" t="s">
        <v>74</v>
      </c>
      <c r="Q990" t="s">
        <v>74</v>
      </c>
      <c r="R990" t="s">
        <v>74</v>
      </c>
      <c r="S990" t="s">
        <v>74</v>
      </c>
      <c r="T990" t="s">
        <v>13236</v>
      </c>
      <c r="U990" t="s">
        <v>13237</v>
      </c>
      <c r="V990" t="s">
        <v>13238</v>
      </c>
      <c r="W990" t="s">
        <v>13239</v>
      </c>
      <c r="X990" t="s">
        <v>13240</v>
      </c>
      <c r="Y990" t="s">
        <v>13241</v>
      </c>
      <c r="Z990" t="s">
        <v>13242</v>
      </c>
      <c r="AA990" t="s">
        <v>13243</v>
      </c>
      <c r="AB990" t="s">
        <v>13244</v>
      </c>
      <c r="AC990" t="s">
        <v>74</v>
      </c>
      <c r="AD990" t="s">
        <v>74</v>
      </c>
      <c r="AE990" t="s">
        <v>74</v>
      </c>
      <c r="AF990" t="s">
        <v>74</v>
      </c>
      <c r="AG990">
        <v>39</v>
      </c>
      <c r="AH990">
        <v>59</v>
      </c>
      <c r="AI990">
        <v>67</v>
      </c>
      <c r="AJ990">
        <v>0</v>
      </c>
      <c r="AK990">
        <v>27</v>
      </c>
      <c r="AL990" t="s">
        <v>2746</v>
      </c>
      <c r="AM990" t="s">
        <v>2747</v>
      </c>
      <c r="AN990" t="s">
        <v>2924</v>
      </c>
      <c r="AO990" t="s">
        <v>2891</v>
      </c>
      <c r="AP990" t="s">
        <v>2925</v>
      </c>
      <c r="AQ990" t="s">
        <v>74</v>
      </c>
      <c r="AR990" t="s">
        <v>2892</v>
      </c>
      <c r="AS990" t="s">
        <v>2893</v>
      </c>
      <c r="AT990" t="s">
        <v>11917</v>
      </c>
      <c r="AU990">
        <v>2008</v>
      </c>
      <c r="AV990">
        <v>31</v>
      </c>
      <c r="AW990">
        <v>3</v>
      </c>
      <c r="AX990" t="s">
        <v>74</v>
      </c>
      <c r="AY990" t="s">
        <v>74</v>
      </c>
      <c r="AZ990" t="s">
        <v>74</v>
      </c>
      <c r="BA990" t="s">
        <v>74</v>
      </c>
      <c r="BB990">
        <v>263</v>
      </c>
      <c r="BC990">
        <v>268</v>
      </c>
      <c r="BD990" t="s">
        <v>74</v>
      </c>
      <c r="BE990" t="s">
        <v>13245</v>
      </c>
      <c r="BF990" t="str">
        <f>HYPERLINK("http://dx.doi.org/10.1007/s00300-007-0353-4","http://dx.doi.org/10.1007/s00300-007-0353-4")</f>
        <v>http://dx.doi.org/10.1007/s00300-007-0353-4</v>
      </c>
      <c r="BG990" t="s">
        <v>74</v>
      </c>
      <c r="BH990" t="s">
        <v>74</v>
      </c>
      <c r="BI990">
        <v>6</v>
      </c>
      <c r="BJ990" t="s">
        <v>2895</v>
      </c>
      <c r="BK990" t="s">
        <v>419</v>
      </c>
      <c r="BL990" t="s">
        <v>2896</v>
      </c>
      <c r="BM990" t="s">
        <v>13246</v>
      </c>
      <c r="BN990" t="s">
        <v>74</v>
      </c>
      <c r="BO990" t="s">
        <v>74</v>
      </c>
      <c r="BP990" t="s">
        <v>74</v>
      </c>
      <c r="BQ990" t="s">
        <v>74</v>
      </c>
      <c r="BR990" t="s">
        <v>101</v>
      </c>
      <c r="BS990" t="s">
        <v>13247</v>
      </c>
      <c r="BT990" t="str">
        <f>HYPERLINK("https%3A%2F%2Fwww.webofscience.com%2Fwos%2Fwoscc%2Ffull-record%2FWOS:000252193100001","View Full Record in Web of Science")</f>
        <v>View Full Record in Web of Science</v>
      </c>
    </row>
    <row r="991" spans="1:72" x14ac:dyDescent="0.15">
      <c r="A991" t="s">
        <v>72</v>
      </c>
      <c r="B991" t="s">
        <v>13248</v>
      </c>
      <c r="C991" t="s">
        <v>74</v>
      </c>
      <c r="D991" t="s">
        <v>74</v>
      </c>
      <c r="E991" t="s">
        <v>74</v>
      </c>
      <c r="F991" t="s">
        <v>13249</v>
      </c>
      <c r="G991" t="s">
        <v>74</v>
      </c>
      <c r="H991" t="s">
        <v>74</v>
      </c>
      <c r="I991" t="s">
        <v>13250</v>
      </c>
      <c r="J991" t="s">
        <v>2883</v>
      </c>
      <c r="K991" t="s">
        <v>74</v>
      </c>
      <c r="L991" t="s">
        <v>74</v>
      </c>
      <c r="M991" t="s">
        <v>78</v>
      </c>
      <c r="N991" t="s">
        <v>2737</v>
      </c>
      <c r="O991" t="s">
        <v>74</v>
      </c>
      <c r="P991" t="s">
        <v>74</v>
      </c>
      <c r="Q991" t="s">
        <v>74</v>
      </c>
      <c r="R991" t="s">
        <v>74</v>
      </c>
      <c r="S991" t="s">
        <v>74</v>
      </c>
      <c r="T991" t="s">
        <v>13251</v>
      </c>
      <c r="U991" t="s">
        <v>13252</v>
      </c>
      <c r="V991" t="s">
        <v>13253</v>
      </c>
      <c r="W991" t="s">
        <v>13254</v>
      </c>
      <c r="X991" t="s">
        <v>13255</v>
      </c>
      <c r="Y991" t="s">
        <v>13256</v>
      </c>
      <c r="Z991" t="s">
        <v>13257</v>
      </c>
      <c r="AA991" t="s">
        <v>13258</v>
      </c>
      <c r="AB991" t="s">
        <v>13259</v>
      </c>
      <c r="AC991" t="s">
        <v>74</v>
      </c>
      <c r="AD991" t="s">
        <v>74</v>
      </c>
      <c r="AE991" t="s">
        <v>74</v>
      </c>
      <c r="AF991" t="s">
        <v>74</v>
      </c>
      <c r="AG991">
        <v>22</v>
      </c>
      <c r="AH991">
        <v>8</v>
      </c>
      <c r="AI991">
        <v>8</v>
      </c>
      <c r="AJ991">
        <v>1</v>
      </c>
      <c r="AK991">
        <v>16</v>
      </c>
      <c r="AL991" t="s">
        <v>2746</v>
      </c>
      <c r="AM991" t="s">
        <v>2747</v>
      </c>
      <c r="AN991" t="s">
        <v>6934</v>
      </c>
      <c r="AO991" t="s">
        <v>2891</v>
      </c>
      <c r="AP991" t="s">
        <v>74</v>
      </c>
      <c r="AQ991" t="s">
        <v>74</v>
      </c>
      <c r="AR991" t="s">
        <v>2892</v>
      </c>
      <c r="AS991" t="s">
        <v>2893</v>
      </c>
      <c r="AT991" t="s">
        <v>11917</v>
      </c>
      <c r="AU991">
        <v>2008</v>
      </c>
      <c r="AV991">
        <v>31</v>
      </c>
      <c r="AW991">
        <v>3</v>
      </c>
      <c r="AX991" t="s">
        <v>74</v>
      </c>
      <c r="AY991" t="s">
        <v>74</v>
      </c>
      <c r="AZ991" t="s">
        <v>74</v>
      </c>
      <c r="BA991" t="s">
        <v>74</v>
      </c>
      <c r="BB991">
        <v>269</v>
      </c>
      <c r="BC991">
        <v>274</v>
      </c>
      <c r="BD991" t="s">
        <v>74</v>
      </c>
      <c r="BE991" t="s">
        <v>13260</v>
      </c>
      <c r="BF991" t="str">
        <f>HYPERLINK("http://dx.doi.org/10.1007/s00300-007-0354-3","http://dx.doi.org/10.1007/s00300-007-0354-3")</f>
        <v>http://dx.doi.org/10.1007/s00300-007-0354-3</v>
      </c>
      <c r="BG991" t="s">
        <v>74</v>
      </c>
      <c r="BH991" t="s">
        <v>74</v>
      </c>
      <c r="BI991">
        <v>6</v>
      </c>
      <c r="BJ991" t="s">
        <v>2895</v>
      </c>
      <c r="BK991" t="s">
        <v>419</v>
      </c>
      <c r="BL991" t="s">
        <v>2896</v>
      </c>
      <c r="BM991" t="s">
        <v>13246</v>
      </c>
      <c r="BN991" t="s">
        <v>74</v>
      </c>
      <c r="BO991" t="s">
        <v>74</v>
      </c>
      <c r="BP991" t="s">
        <v>74</v>
      </c>
      <c r="BQ991" t="s">
        <v>74</v>
      </c>
      <c r="BR991" t="s">
        <v>101</v>
      </c>
      <c r="BS991" t="s">
        <v>13261</v>
      </c>
      <c r="BT991" t="str">
        <f>HYPERLINK("https%3A%2F%2Fwww.webofscience.com%2Fwos%2Fwoscc%2Ffull-record%2FWOS:000252193100002","View Full Record in Web of Science")</f>
        <v>View Full Record in Web of Science</v>
      </c>
    </row>
    <row r="992" spans="1:72" x14ac:dyDescent="0.15">
      <c r="A992" t="s">
        <v>72</v>
      </c>
      <c r="B992" t="s">
        <v>13262</v>
      </c>
      <c r="C992" t="s">
        <v>74</v>
      </c>
      <c r="D992" t="s">
        <v>74</v>
      </c>
      <c r="E992" t="s">
        <v>74</v>
      </c>
      <c r="F992" t="s">
        <v>13263</v>
      </c>
      <c r="G992" t="s">
        <v>74</v>
      </c>
      <c r="H992" t="s">
        <v>74</v>
      </c>
      <c r="I992" t="s">
        <v>13264</v>
      </c>
      <c r="J992" t="s">
        <v>2883</v>
      </c>
      <c r="K992" t="s">
        <v>74</v>
      </c>
      <c r="L992" t="s">
        <v>74</v>
      </c>
      <c r="M992" t="s">
        <v>78</v>
      </c>
      <c r="N992" t="s">
        <v>2737</v>
      </c>
      <c r="O992" t="s">
        <v>74</v>
      </c>
      <c r="P992" t="s">
        <v>74</v>
      </c>
      <c r="Q992" t="s">
        <v>74</v>
      </c>
      <c r="R992" t="s">
        <v>74</v>
      </c>
      <c r="S992" t="s">
        <v>74</v>
      </c>
      <c r="T992" t="s">
        <v>13265</v>
      </c>
      <c r="U992" t="s">
        <v>74</v>
      </c>
      <c r="V992" t="s">
        <v>13266</v>
      </c>
      <c r="W992" t="s">
        <v>13267</v>
      </c>
      <c r="X992" t="s">
        <v>13240</v>
      </c>
      <c r="Y992" t="s">
        <v>13268</v>
      </c>
      <c r="Z992" t="s">
        <v>13269</v>
      </c>
      <c r="AA992" t="s">
        <v>74</v>
      </c>
      <c r="AB992" t="s">
        <v>13270</v>
      </c>
      <c r="AC992" t="s">
        <v>74</v>
      </c>
      <c r="AD992" t="s">
        <v>74</v>
      </c>
      <c r="AE992" t="s">
        <v>74</v>
      </c>
      <c r="AF992" t="s">
        <v>74</v>
      </c>
      <c r="AG992">
        <v>19</v>
      </c>
      <c r="AH992">
        <v>8</v>
      </c>
      <c r="AI992">
        <v>8</v>
      </c>
      <c r="AJ992">
        <v>0</v>
      </c>
      <c r="AK992">
        <v>5</v>
      </c>
      <c r="AL992" t="s">
        <v>2746</v>
      </c>
      <c r="AM992" t="s">
        <v>2747</v>
      </c>
      <c r="AN992" t="s">
        <v>6934</v>
      </c>
      <c r="AO992" t="s">
        <v>2891</v>
      </c>
      <c r="AP992" t="s">
        <v>74</v>
      </c>
      <c r="AQ992" t="s">
        <v>74</v>
      </c>
      <c r="AR992" t="s">
        <v>2892</v>
      </c>
      <c r="AS992" t="s">
        <v>2893</v>
      </c>
      <c r="AT992" t="s">
        <v>11917</v>
      </c>
      <c r="AU992">
        <v>2008</v>
      </c>
      <c r="AV992">
        <v>31</v>
      </c>
      <c r="AW992">
        <v>3</v>
      </c>
      <c r="AX992" t="s">
        <v>74</v>
      </c>
      <c r="AY992" t="s">
        <v>74</v>
      </c>
      <c r="AZ992" t="s">
        <v>74</v>
      </c>
      <c r="BA992" t="s">
        <v>74</v>
      </c>
      <c r="BB992">
        <v>275</v>
      </c>
      <c r="BC992">
        <v>279</v>
      </c>
      <c r="BD992" t="s">
        <v>74</v>
      </c>
      <c r="BE992" t="s">
        <v>13271</v>
      </c>
      <c r="BF992" t="str">
        <f>HYPERLINK("http://dx.doi.org/10.1007/s00300-007-0355-2","http://dx.doi.org/10.1007/s00300-007-0355-2")</f>
        <v>http://dx.doi.org/10.1007/s00300-007-0355-2</v>
      </c>
      <c r="BG992" t="s">
        <v>74</v>
      </c>
      <c r="BH992" t="s">
        <v>74</v>
      </c>
      <c r="BI992">
        <v>5</v>
      </c>
      <c r="BJ992" t="s">
        <v>2895</v>
      </c>
      <c r="BK992" t="s">
        <v>419</v>
      </c>
      <c r="BL992" t="s">
        <v>2896</v>
      </c>
      <c r="BM992" t="s">
        <v>13246</v>
      </c>
      <c r="BN992" t="s">
        <v>74</v>
      </c>
      <c r="BO992" t="s">
        <v>3110</v>
      </c>
      <c r="BP992" t="s">
        <v>74</v>
      </c>
      <c r="BQ992" t="s">
        <v>74</v>
      </c>
      <c r="BR992" t="s">
        <v>101</v>
      </c>
      <c r="BS992" t="s">
        <v>13272</v>
      </c>
      <c r="BT992" t="str">
        <f>HYPERLINK("https%3A%2F%2Fwww.webofscience.com%2Fwos%2Fwoscc%2Ffull-record%2FWOS:000252193100003","View Full Record in Web of Science")</f>
        <v>View Full Record in Web of Science</v>
      </c>
    </row>
    <row r="993" spans="1:72" x14ac:dyDescent="0.15">
      <c r="A993" t="s">
        <v>72</v>
      </c>
      <c r="B993" t="s">
        <v>13273</v>
      </c>
      <c r="C993" t="s">
        <v>74</v>
      </c>
      <c r="D993" t="s">
        <v>74</v>
      </c>
      <c r="E993" t="s">
        <v>74</v>
      </c>
      <c r="F993" t="s">
        <v>13274</v>
      </c>
      <c r="G993" t="s">
        <v>74</v>
      </c>
      <c r="H993" t="s">
        <v>74</v>
      </c>
      <c r="I993" t="s">
        <v>13275</v>
      </c>
      <c r="J993" t="s">
        <v>2883</v>
      </c>
      <c r="K993" t="s">
        <v>74</v>
      </c>
      <c r="L993" t="s">
        <v>74</v>
      </c>
      <c r="M993" t="s">
        <v>78</v>
      </c>
      <c r="N993" t="s">
        <v>2737</v>
      </c>
      <c r="O993" t="s">
        <v>74</v>
      </c>
      <c r="P993" t="s">
        <v>74</v>
      </c>
      <c r="Q993" t="s">
        <v>74</v>
      </c>
      <c r="R993" t="s">
        <v>74</v>
      </c>
      <c r="S993" t="s">
        <v>74</v>
      </c>
      <c r="T993" t="s">
        <v>13276</v>
      </c>
      <c r="U993" t="s">
        <v>13277</v>
      </c>
      <c r="V993" t="s">
        <v>13278</v>
      </c>
      <c r="W993" t="s">
        <v>13279</v>
      </c>
      <c r="X993" t="s">
        <v>13280</v>
      </c>
      <c r="Y993" t="s">
        <v>8689</v>
      </c>
      <c r="Z993" t="s">
        <v>8048</v>
      </c>
      <c r="AA993" t="s">
        <v>13281</v>
      </c>
      <c r="AB993" t="s">
        <v>13282</v>
      </c>
      <c r="AC993" t="s">
        <v>74</v>
      </c>
      <c r="AD993" t="s">
        <v>74</v>
      </c>
      <c r="AE993" t="s">
        <v>74</v>
      </c>
      <c r="AF993" t="s">
        <v>74</v>
      </c>
      <c r="AG993">
        <v>14</v>
      </c>
      <c r="AH993">
        <v>2</v>
      </c>
      <c r="AI993">
        <v>3</v>
      </c>
      <c r="AJ993">
        <v>0</v>
      </c>
      <c r="AK993">
        <v>5</v>
      </c>
      <c r="AL993" t="s">
        <v>2746</v>
      </c>
      <c r="AM993" t="s">
        <v>2747</v>
      </c>
      <c r="AN993" t="s">
        <v>2748</v>
      </c>
      <c r="AO993" t="s">
        <v>2891</v>
      </c>
      <c r="AP993" t="s">
        <v>2925</v>
      </c>
      <c r="AQ993" t="s">
        <v>74</v>
      </c>
      <c r="AR993" t="s">
        <v>2892</v>
      </c>
      <c r="AS993" t="s">
        <v>2893</v>
      </c>
      <c r="AT993" t="s">
        <v>11917</v>
      </c>
      <c r="AU993">
        <v>2008</v>
      </c>
      <c r="AV993">
        <v>31</v>
      </c>
      <c r="AW993">
        <v>3</v>
      </c>
      <c r="AX993" t="s">
        <v>74</v>
      </c>
      <c r="AY993" t="s">
        <v>74</v>
      </c>
      <c r="AZ993" t="s">
        <v>74</v>
      </c>
      <c r="BA993" t="s">
        <v>74</v>
      </c>
      <c r="BB993">
        <v>309</v>
      </c>
      <c r="BC993">
        <v>315</v>
      </c>
      <c r="BD993" t="s">
        <v>74</v>
      </c>
      <c r="BE993" t="s">
        <v>13283</v>
      </c>
      <c r="BF993" t="str">
        <f>HYPERLINK("http://dx.doi.org/10.1007/s00300-007-0359-y","http://dx.doi.org/10.1007/s00300-007-0359-y")</f>
        <v>http://dx.doi.org/10.1007/s00300-007-0359-y</v>
      </c>
      <c r="BG993" t="s">
        <v>74</v>
      </c>
      <c r="BH993" t="s">
        <v>74</v>
      </c>
      <c r="BI993">
        <v>7</v>
      </c>
      <c r="BJ993" t="s">
        <v>2895</v>
      </c>
      <c r="BK993" t="s">
        <v>419</v>
      </c>
      <c r="BL993" t="s">
        <v>2896</v>
      </c>
      <c r="BM993" t="s">
        <v>13246</v>
      </c>
      <c r="BN993" t="s">
        <v>74</v>
      </c>
      <c r="BO993" t="s">
        <v>74</v>
      </c>
      <c r="BP993" t="s">
        <v>74</v>
      </c>
      <c r="BQ993" t="s">
        <v>74</v>
      </c>
      <c r="BR993" t="s">
        <v>101</v>
      </c>
      <c r="BS993" t="s">
        <v>13284</v>
      </c>
      <c r="BT993" t="str">
        <f>HYPERLINK("https%3A%2F%2Fwww.webofscience.com%2Fwos%2Fwoscc%2Ffull-record%2FWOS:000252193100007","View Full Record in Web of Science")</f>
        <v>View Full Record in Web of Science</v>
      </c>
    </row>
    <row r="994" spans="1:72" x14ac:dyDescent="0.15">
      <c r="A994" t="s">
        <v>72</v>
      </c>
      <c r="B994" t="s">
        <v>13285</v>
      </c>
      <c r="C994" t="s">
        <v>74</v>
      </c>
      <c r="D994" t="s">
        <v>74</v>
      </c>
      <c r="E994" t="s">
        <v>74</v>
      </c>
      <c r="F994" t="s">
        <v>13286</v>
      </c>
      <c r="G994" t="s">
        <v>74</v>
      </c>
      <c r="H994" t="s">
        <v>74</v>
      </c>
      <c r="I994" t="s">
        <v>13287</v>
      </c>
      <c r="J994" t="s">
        <v>2883</v>
      </c>
      <c r="K994" t="s">
        <v>74</v>
      </c>
      <c r="L994" t="s">
        <v>74</v>
      </c>
      <c r="M994" t="s">
        <v>78</v>
      </c>
      <c r="N994" t="s">
        <v>2737</v>
      </c>
      <c r="O994" t="s">
        <v>74</v>
      </c>
      <c r="P994" t="s">
        <v>74</v>
      </c>
      <c r="Q994" t="s">
        <v>74</v>
      </c>
      <c r="R994" t="s">
        <v>74</v>
      </c>
      <c r="S994" t="s">
        <v>74</v>
      </c>
      <c r="T994" t="s">
        <v>13288</v>
      </c>
      <c r="U994" t="s">
        <v>13289</v>
      </c>
      <c r="V994" t="s">
        <v>13290</v>
      </c>
      <c r="W994" t="s">
        <v>13291</v>
      </c>
      <c r="X994" t="s">
        <v>9401</v>
      </c>
      <c r="Y994" t="s">
        <v>13292</v>
      </c>
      <c r="Z994" t="s">
        <v>13293</v>
      </c>
      <c r="AA994" t="s">
        <v>13294</v>
      </c>
      <c r="AB994" t="s">
        <v>13295</v>
      </c>
      <c r="AC994" t="s">
        <v>74</v>
      </c>
      <c r="AD994" t="s">
        <v>74</v>
      </c>
      <c r="AE994" t="s">
        <v>74</v>
      </c>
      <c r="AF994" t="s">
        <v>74</v>
      </c>
      <c r="AG994">
        <v>47</v>
      </c>
      <c r="AH994">
        <v>47</v>
      </c>
      <c r="AI994">
        <v>56</v>
      </c>
      <c r="AJ994">
        <v>0</v>
      </c>
      <c r="AK994">
        <v>26</v>
      </c>
      <c r="AL994" t="s">
        <v>2746</v>
      </c>
      <c r="AM994" t="s">
        <v>2747</v>
      </c>
      <c r="AN994" t="s">
        <v>2748</v>
      </c>
      <c r="AO994" t="s">
        <v>2891</v>
      </c>
      <c r="AP994" t="s">
        <v>2925</v>
      </c>
      <c r="AQ994" t="s">
        <v>74</v>
      </c>
      <c r="AR994" t="s">
        <v>2892</v>
      </c>
      <c r="AS994" t="s">
        <v>2893</v>
      </c>
      <c r="AT994" t="s">
        <v>11917</v>
      </c>
      <c r="AU994">
        <v>2008</v>
      </c>
      <c r="AV994">
        <v>31</v>
      </c>
      <c r="AW994">
        <v>3</v>
      </c>
      <c r="AX994" t="s">
        <v>74</v>
      </c>
      <c r="AY994" t="s">
        <v>74</v>
      </c>
      <c r="AZ994" t="s">
        <v>74</v>
      </c>
      <c r="BA994" t="s">
        <v>74</v>
      </c>
      <c r="BB994">
        <v>317</v>
      </c>
      <c r="BC994">
        <v>326</v>
      </c>
      <c r="BD994" t="s">
        <v>74</v>
      </c>
      <c r="BE994" t="s">
        <v>13296</v>
      </c>
      <c r="BF994" t="str">
        <f>HYPERLINK("http://dx.doi.org/10.1007/s00300-007-0361-4","http://dx.doi.org/10.1007/s00300-007-0361-4")</f>
        <v>http://dx.doi.org/10.1007/s00300-007-0361-4</v>
      </c>
      <c r="BG994" t="s">
        <v>74</v>
      </c>
      <c r="BH994" t="s">
        <v>74</v>
      </c>
      <c r="BI994">
        <v>10</v>
      </c>
      <c r="BJ994" t="s">
        <v>2895</v>
      </c>
      <c r="BK994" t="s">
        <v>419</v>
      </c>
      <c r="BL994" t="s">
        <v>2896</v>
      </c>
      <c r="BM994" t="s">
        <v>13246</v>
      </c>
      <c r="BN994" t="s">
        <v>74</v>
      </c>
      <c r="BO994" t="s">
        <v>74</v>
      </c>
      <c r="BP994" t="s">
        <v>74</v>
      </c>
      <c r="BQ994" t="s">
        <v>74</v>
      </c>
      <c r="BR994" t="s">
        <v>101</v>
      </c>
      <c r="BS994" t="s">
        <v>13297</v>
      </c>
      <c r="BT994" t="str">
        <f>HYPERLINK("https%3A%2F%2Fwww.webofscience.com%2Fwos%2Fwoscc%2Ffull-record%2FWOS:000252193100008","View Full Record in Web of Science")</f>
        <v>View Full Record in Web of Science</v>
      </c>
    </row>
    <row r="995" spans="1:72" x14ac:dyDescent="0.15">
      <c r="A995" t="s">
        <v>72</v>
      </c>
      <c r="B995" t="s">
        <v>13298</v>
      </c>
      <c r="C995" t="s">
        <v>74</v>
      </c>
      <c r="D995" t="s">
        <v>74</v>
      </c>
      <c r="E995" t="s">
        <v>74</v>
      </c>
      <c r="F995" t="s">
        <v>13299</v>
      </c>
      <c r="G995" t="s">
        <v>74</v>
      </c>
      <c r="H995" t="s">
        <v>74</v>
      </c>
      <c r="I995" t="s">
        <v>13300</v>
      </c>
      <c r="J995" t="s">
        <v>2883</v>
      </c>
      <c r="K995" t="s">
        <v>74</v>
      </c>
      <c r="L995" t="s">
        <v>74</v>
      </c>
      <c r="M995" t="s">
        <v>78</v>
      </c>
      <c r="N995" t="s">
        <v>2737</v>
      </c>
      <c r="O995" t="s">
        <v>74</v>
      </c>
      <c r="P995" t="s">
        <v>74</v>
      </c>
      <c r="Q995" t="s">
        <v>74</v>
      </c>
      <c r="R995" t="s">
        <v>74</v>
      </c>
      <c r="S995" t="s">
        <v>74</v>
      </c>
      <c r="T995" t="s">
        <v>13301</v>
      </c>
      <c r="U995" t="s">
        <v>13302</v>
      </c>
      <c r="V995" t="s">
        <v>13303</v>
      </c>
      <c r="W995" t="s">
        <v>13304</v>
      </c>
      <c r="X995" t="s">
        <v>13305</v>
      </c>
      <c r="Y995" t="s">
        <v>13306</v>
      </c>
      <c r="Z995" t="s">
        <v>8074</v>
      </c>
      <c r="AA995" t="s">
        <v>13307</v>
      </c>
      <c r="AB995" t="s">
        <v>13308</v>
      </c>
      <c r="AC995" t="s">
        <v>74</v>
      </c>
      <c r="AD995" t="s">
        <v>74</v>
      </c>
      <c r="AE995" t="s">
        <v>74</v>
      </c>
      <c r="AF995" t="s">
        <v>74</v>
      </c>
      <c r="AG995">
        <v>17</v>
      </c>
      <c r="AH995">
        <v>10</v>
      </c>
      <c r="AI995">
        <v>10</v>
      </c>
      <c r="AJ995">
        <v>0</v>
      </c>
      <c r="AK995">
        <v>12</v>
      </c>
      <c r="AL995" t="s">
        <v>2746</v>
      </c>
      <c r="AM995" t="s">
        <v>2747</v>
      </c>
      <c r="AN995" t="s">
        <v>2748</v>
      </c>
      <c r="AO995" t="s">
        <v>2891</v>
      </c>
      <c r="AP995" t="s">
        <v>2925</v>
      </c>
      <c r="AQ995" t="s">
        <v>74</v>
      </c>
      <c r="AR995" t="s">
        <v>2892</v>
      </c>
      <c r="AS995" t="s">
        <v>2893</v>
      </c>
      <c r="AT995" t="s">
        <v>11917</v>
      </c>
      <c r="AU995">
        <v>2008</v>
      </c>
      <c r="AV995">
        <v>31</v>
      </c>
      <c r="AW995">
        <v>3</v>
      </c>
      <c r="AX995" t="s">
        <v>74</v>
      </c>
      <c r="AY995" t="s">
        <v>74</v>
      </c>
      <c r="AZ995" t="s">
        <v>74</v>
      </c>
      <c r="BA995" t="s">
        <v>74</v>
      </c>
      <c r="BB995">
        <v>327</v>
      </c>
      <c r="BC995">
        <v>331</v>
      </c>
      <c r="BD995" t="s">
        <v>74</v>
      </c>
      <c r="BE995" t="s">
        <v>13309</v>
      </c>
      <c r="BF995" t="str">
        <f>HYPERLINK("http://dx.doi.org/10.1007/s00300-007-0362-3","http://dx.doi.org/10.1007/s00300-007-0362-3")</f>
        <v>http://dx.doi.org/10.1007/s00300-007-0362-3</v>
      </c>
      <c r="BG995" t="s">
        <v>74</v>
      </c>
      <c r="BH995" t="s">
        <v>74</v>
      </c>
      <c r="BI995">
        <v>5</v>
      </c>
      <c r="BJ995" t="s">
        <v>2895</v>
      </c>
      <c r="BK995" t="s">
        <v>419</v>
      </c>
      <c r="BL995" t="s">
        <v>2896</v>
      </c>
      <c r="BM995" t="s">
        <v>13246</v>
      </c>
      <c r="BN995" t="s">
        <v>74</v>
      </c>
      <c r="BO995" t="s">
        <v>3311</v>
      </c>
      <c r="BP995" t="s">
        <v>74</v>
      </c>
      <c r="BQ995" t="s">
        <v>74</v>
      </c>
      <c r="BR995" t="s">
        <v>101</v>
      </c>
      <c r="BS995" t="s">
        <v>13310</v>
      </c>
      <c r="BT995" t="str">
        <f>HYPERLINK("https%3A%2F%2Fwww.webofscience.com%2Fwos%2Fwoscc%2Ffull-record%2FWOS:000252193100009","View Full Record in Web of Science")</f>
        <v>View Full Record in Web of Science</v>
      </c>
    </row>
    <row r="996" spans="1:72" x14ac:dyDescent="0.15">
      <c r="A996" t="s">
        <v>72</v>
      </c>
      <c r="B996" t="s">
        <v>13311</v>
      </c>
      <c r="C996" t="s">
        <v>74</v>
      </c>
      <c r="D996" t="s">
        <v>74</v>
      </c>
      <c r="E996" t="s">
        <v>74</v>
      </c>
      <c r="F996" t="s">
        <v>13312</v>
      </c>
      <c r="G996" t="s">
        <v>74</v>
      </c>
      <c r="H996" t="s">
        <v>74</v>
      </c>
      <c r="I996" t="s">
        <v>13313</v>
      </c>
      <c r="J996" t="s">
        <v>2883</v>
      </c>
      <c r="K996" t="s">
        <v>74</v>
      </c>
      <c r="L996" t="s">
        <v>74</v>
      </c>
      <c r="M996" t="s">
        <v>78</v>
      </c>
      <c r="N996" t="s">
        <v>2737</v>
      </c>
      <c r="O996" t="s">
        <v>74</v>
      </c>
      <c r="P996" t="s">
        <v>74</v>
      </c>
      <c r="Q996" t="s">
        <v>74</v>
      </c>
      <c r="R996" t="s">
        <v>74</v>
      </c>
      <c r="S996" t="s">
        <v>74</v>
      </c>
      <c r="T996" t="s">
        <v>13314</v>
      </c>
      <c r="U996" t="s">
        <v>13315</v>
      </c>
      <c r="V996" t="s">
        <v>13316</v>
      </c>
      <c r="W996" t="s">
        <v>13317</v>
      </c>
      <c r="X996" t="s">
        <v>13318</v>
      </c>
      <c r="Y996" t="s">
        <v>13319</v>
      </c>
      <c r="Z996" t="s">
        <v>13320</v>
      </c>
      <c r="AA996" t="s">
        <v>74</v>
      </c>
      <c r="AB996" t="s">
        <v>74</v>
      </c>
      <c r="AC996" t="s">
        <v>74</v>
      </c>
      <c r="AD996" t="s">
        <v>74</v>
      </c>
      <c r="AE996" t="s">
        <v>74</v>
      </c>
      <c r="AF996" t="s">
        <v>74</v>
      </c>
      <c r="AG996">
        <v>79</v>
      </c>
      <c r="AH996">
        <v>29</v>
      </c>
      <c r="AI996">
        <v>33</v>
      </c>
      <c r="AJ996">
        <v>2</v>
      </c>
      <c r="AK996">
        <v>27</v>
      </c>
      <c r="AL996" t="s">
        <v>2746</v>
      </c>
      <c r="AM996" t="s">
        <v>2747</v>
      </c>
      <c r="AN996" t="s">
        <v>6934</v>
      </c>
      <c r="AO996" t="s">
        <v>2891</v>
      </c>
      <c r="AP996" t="s">
        <v>74</v>
      </c>
      <c r="AQ996" t="s">
        <v>74</v>
      </c>
      <c r="AR996" t="s">
        <v>2892</v>
      </c>
      <c r="AS996" t="s">
        <v>2893</v>
      </c>
      <c r="AT996" t="s">
        <v>11917</v>
      </c>
      <c r="AU996">
        <v>2008</v>
      </c>
      <c r="AV996">
        <v>31</v>
      </c>
      <c r="AW996">
        <v>3</v>
      </c>
      <c r="AX996" t="s">
        <v>74</v>
      </c>
      <c r="AY996" t="s">
        <v>74</v>
      </c>
      <c r="AZ996" t="s">
        <v>74</v>
      </c>
      <c r="BA996" t="s">
        <v>74</v>
      </c>
      <c r="BB996">
        <v>381</v>
      </c>
      <c r="BC996">
        <v>393</v>
      </c>
      <c r="BD996" t="s">
        <v>74</v>
      </c>
      <c r="BE996" t="s">
        <v>13321</v>
      </c>
      <c r="BF996" t="str">
        <f>HYPERLINK("http://dx.doi.org/10.1007/s00300-007-0366-z","http://dx.doi.org/10.1007/s00300-007-0366-z")</f>
        <v>http://dx.doi.org/10.1007/s00300-007-0366-z</v>
      </c>
      <c r="BG996" t="s">
        <v>74</v>
      </c>
      <c r="BH996" t="s">
        <v>74</v>
      </c>
      <c r="BI996">
        <v>13</v>
      </c>
      <c r="BJ996" t="s">
        <v>2895</v>
      </c>
      <c r="BK996" t="s">
        <v>419</v>
      </c>
      <c r="BL996" t="s">
        <v>2896</v>
      </c>
      <c r="BM996" t="s">
        <v>13246</v>
      </c>
      <c r="BN996" t="s">
        <v>74</v>
      </c>
      <c r="BO996" t="s">
        <v>74</v>
      </c>
      <c r="BP996" t="s">
        <v>74</v>
      </c>
      <c r="BQ996" t="s">
        <v>74</v>
      </c>
      <c r="BR996" t="s">
        <v>101</v>
      </c>
      <c r="BS996" t="s">
        <v>13322</v>
      </c>
      <c r="BT996" t="str">
        <f>HYPERLINK("https%3A%2F%2Fwww.webofscience.com%2Fwos%2Fwoscc%2Ffull-record%2FWOS:000252193100013","View Full Record in Web of Science")</f>
        <v>View Full Record in Web of Science</v>
      </c>
    </row>
    <row r="997" spans="1:72" x14ac:dyDescent="0.15">
      <c r="A997" t="s">
        <v>72</v>
      </c>
      <c r="B997" t="s">
        <v>13323</v>
      </c>
      <c r="C997" t="s">
        <v>74</v>
      </c>
      <c r="D997" t="s">
        <v>74</v>
      </c>
      <c r="E997" t="s">
        <v>74</v>
      </c>
      <c r="F997" t="s">
        <v>13324</v>
      </c>
      <c r="G997" t="s">
        <v>74</v>
      </c>
      <c r="H997" t="s">
        <v>74</v>
      </c>
      <c r="I997" t="s">
        <v>13325</v>
      </c>
      <c r="J997" t="s">
        <v>13326</v>
      </c>
      <c r="K997" t="s">
        <v>74</v>
      </c>
      <c r="L997" t="s">
        <v>74</v>
      </c>
      <c r="M997" t="s">
        <v>78</v>
      </c>
      <c r="N997" t="s">
        <v>2958</v>
      </c>
      <c r="O997" t="s">
        <v>74</v>
      </c>
      <c r="P997" t="s">
        <v>74</v>
      </c>
      <c r="Q997" t="s">
        <v>74</v>
      </c>
      <c r="R997" t="s">
        <v>74</v>
      </c>
      <c r="S997" t="s">
        <v>74</v>
      </c>
      <c r="T997" t="s">
        <v>74</v>
      </c>
      <c r="U997" t="s">
        <v>13327</v>
      </c>
      <c r="V997" t="s">
        <v>74</v>
      </c>
      <c r="W997" t="s">
        <v>13328</v>
      </c>
      <c r="X997" t="s">
        <v>13329</v>
      </c>
      <c r="Y997" t="s">
        <v>13330</v>
      </c>
      <c r="Z997" t="s">
        <v>13331</v>
      </c>
      <c r="AA997" t="s">
        <v>13332</v>
      </c>
      <c r="AB997" t="s">
        <v>13333</v>
      </c>
      <c r="AC997" t="s">
        <v>74</v>
      </c>
      <c r="AD997" t="s">
        <v>74</v>
      </c>
      <c r="AE997" t="s">
        <v>74</v>
      </c>
      <c r="AF997" t="s">
        <v>74</v>
      </c>
      <c r="AG997">
        <v>135</v>
      </c>
      <c r="AH997">
        <v>16</v>
      </c>
      <c r="AI997">
        <v>18</v>
      </c>
      <c r="AJ997">
        <v>0</v>
      </c>
      <c r="AK997">
        <v>9</v>
      </c>
      <c r="AL997" t="s">
        <v>13334</v>
      </c>
      <c r="AM997" t="s">
        <v>3550</v>
      </c>
      <c r="AN997" t="s">
        <v>13335</v>
      </c>
      <c r="AO997" t="s">
        <v>13336</v>
      </c>
      <c r="AP997" t="s">
        <v>13337</v>
      </c>
      <c r="AQ997" t="s">
        <v>74</v>
      </c>
      <c r="AR997" t="s">
        <v>13338</v>
      </c>
      <c r="AS997" t="s">
        <v>13339</v>
      </c>
      <c r="AT997" t="s">
        <v>11917</v>
      </c>
      <c r="AU997">
        <v>2008</v>
      </c>
      <c r="AV997">
        <v>32</v>
      </c>
      <c r="AW997">
        <v>1</v>
      </c>
      <c r="AX997" t="s">
        <v>74</v>
      </c>
      <c r="AY997" t="s">
        <v>74</v>
      </c>
      <c r="AZ997" t="s">
        <v>74</v>
      </c>
      <c r="BA997" t="s">
        <v>74</v>
      </c>
      <c r="BB997">
        <v>81</v>
      </c>
      <c r="BC997">
        <v>101</v>
      </c>
      <c r="BD997" t="s">
        <v>74</v>
      </c>
      <c r="BE997" t="s">
        <v>13340</v>
      </c>
      <c r="BF997" t="str">
        <f>HYPERLINK("http://dx.doi.org/10.1177/0309133308089500","http://dx.doi.org/10.1177/0309133308089500")</f>
        <v>http://dx.doi.org/10.1177/0309133308089500</v>
      </c>
      <c r="BG997" t="s">
        <v>74</v>
      </c>
      <c r="BH997" t="s">
        <v>74</v>
      </c>
      <c r="BI997">
        <v>21</v>
      </c>
      <c r="BJ997" t="s">
        <v>3015</v>
      </c>
      <c r="BK997" t="s">
        <v>419</v>
      </c>
      <c r="BL997" t="s">
        <v>3016</v>
      </c>
      <c r="BM997" t="s">
        <v>13341</v>
      </c>
      <c r="BN997" t="s">
        <v>74</v>
      </c>
      <c r="BO997" t="s">
        <v>74</v>
      </c>
      <c r="BP997" t="s">
        <v>74</v>
      </c>
      <c r="BQ997" t="s">
        <v>74</v>
      </c>
      <c r="BR997" t="s">
        <v>101</v>
      </c>
      <c r="BS997" t="s">
        <v>13342</v>
      </c>
      <c r="BT997" t="str">
        <f>HYPERLINK("https%3A%2F%2Fwww.webofscience.com%2Fwos%2Fwoscc%2Ffull-record%2FWOS:000255435000006","View Full Record in Web of Science")</f>
        <v>View Full Record in Web of Science</v>
      </c>
    </row>
    <row r="998" spans="1:72" x14ac:dyDescent="0.15">
      <c r="A998" t="s">
        <v>72</v>
      </c>
      <c r="B998" t="s">
        <v>13343</v>
      </c>
      <c r="C998" t="s">
        <v>74</v>
      </c>
      <c r="D998" t="s">
        <v>74</v>
      </c>
      <c r="E998" t="s">
        <v>74</v>
      </c>
      <c r="F998" t="s">
        <v>13344</v>
      </c>
      <c r="G998" t="s">
        <v>74</v>
      </c>
      <c r="H998" t="s">
        <v>74</v>
      </c>
      <c r="I998" t="s">
        <v>13345</v>
      </c>
      <c r="J998" t="s">
        <v>2998</v>
      </c>
      <c r="K998" t="s">
        <v>74</v>
      </c>
      <c r="L998" t="s">
        <v>74</v>
      </c>
      <c r="M998" t="s">
        <v>78</v>
      </c>
      <c r="N998" t="s">
        <v>2958</v>
      </c>
      <c r="O998" t="s">
        <v>74</v>
      </c>
      <c r="P998" t="s">
        <v>74</v>
      </c>
      <c r="Q998" t="s">
        <v>74</v>
      </c>
      <c r="R998" t="s">
        <v>74</v>
      </c>
      <c r="S998" t="s">
        <v>74</v>
      </c>
      <c r="T998" t="s">
        <v>74</v>
      </c>
      <c r="U998" t="s">
        <v>13346</v>
      </c>
      <c r="V998" t="s">
        <v>13347</v>
      </c>
      <c r="W998" t="s">
        <v>13348</v>
      </c>
      <c r="X998" t="s">
        <v>13349</v>
      </c>
      <c r="Y998" t="s">
        <v>13350</v>
      </c>
      <c r="Z998" t="s">
        <v>13351</v>
      </c>
      <c r="AA998" t="s">
        <v>13352</v>
      </c>
      <c r="AB998" t="s">
        <v>13353</v>
      </c>
      <c r="AC998" t="s">
        <v>13354</v>
      </c>
      <c r="AD998" t="s">
        <v>2792</v>
      </c>
      <c r="AE998" t="s">
        <v>74</v>
      </c>
      <c r="AF998" t="s">
        <v>74</v>
      </c>
      <c r="AG998">
        <v>60</v>
      </c>
      <c r="AH998">
        <v>105</v>
      </c>
      <c r="AI998">
        <v>117</v>
      </c>
      <c r="AJ998">
        <v>0</v>
      </c>
      <c r="AK998">
        <v>32</v>
      </c>
      <c r="AL998" t="s">
        <v>3007</v>
      </c>
      <c r="AM998" t="s">
        <v>3008</v>
      </c>
      <c r="AN998" t="s">
        <v>3009</v>
      </c>
      <c r="AO998" t="s">
        <v>3010</v>
      </c>
      <c r="AP998" t="s">
        <v>74</v>
      </c>
      <c r="AQ998" t="s">
        <v>74</v>
      </c>
      <c r="AR998" t="s">
        <v>3011</v>
      </c>
      <c r="AS998" t="s">
        <v>3012</v>
      </c>
      <c r="AT998" t="s">
        <v>11917</v>
      </c>
      <c r="AU998">
        <v>2008</v>
      </c>
      <c r="AV998">
        <v>27</v>
      </c>
      <c r="AW998" t="s">
        <v>3263</v>
      </c>
      <c r="AX998" t="s">
        <v>74</v>
      </c>
      <c r="AY998" t="s">
        <v>74</v>
      </c>
      <c r="AZ998" t="s">
        <v>74</v>
      </c>
      <c r="BA998" t="s">
        <v>74</v>
      </c>
      <c r="BB998">
        <v>284</v>
      </c>
      <c r="BC998">
        <v>294</v>
      </c>
      <c r="BD998" t="s">
        <v>74</v>
      </c>
      <c r="BE998" t="s">
        <v>13355</v>
      </c>
      <c r="BF998" t="str">
        <f>HYPERLINK("http://dx.doi.org/10.1016/j.quascirev.2007.09.013","http://dx.doi.org/10.1016/j.quascirev.2007.09.013")</f>
        <v>http://dx.doi.org/10.1016/j.quascirev.2007.09.013</v>
      </c>
      <c r="BG998" t="s">
        <v>74</v>
      </c>
      <c r="BH998" t="s">
        <v>74</v>
      </c>
      <c r="BI998">
        <v>11</v>
      </c>
      <c r="BJ998" t="s">
        <v>3015</v>
      </c>
      <c r="BK998" t="s">
        <v>419</v>
      </c>
      <c r="BL998" t="s">
        <v>3016</v>
      </c>
      <c r="BM998" t="s">
        <v>13356</v>
      </c>
      <c r="BN998" t="s">
        <v>74</v>
      </c>
      <c r="BO998" t="s">
        <v>74</v>
      </c>
      <c r="BP998" t="s">
        <v>74</v>
      </c>
      <c r="BQ998" t="s">
        <v>74</v>
      </c>
      <c r="BR998" t="s">
        <v>101</v>
      </c>
      <c r="BS998" t="s">
        <v>13357</v>
      </c>
      <c r="BT998" t="str">
        <f>HYPERLINK("https%3A%2F%2Fwww.webofscience.com%2Fwos%2Fwoscc%2Ffull-record%2FWOS:000255534600007","View Full Record in Web of Science")</f>
        <v>View Full Record in Web of Science</v>
      </c>
    </row>
    <row r="999" spans="1:72" x14ac:dyDescent="0.15">
      <c r="A999" t="s">
        <v>72</v>
      </c>
      <c r="B999" t="s">
        <v>13358</v>
      </c>
      <c r="C999" t="s">
        <v>74</v>
      </c>
      <c r="D999" t="s">
        <v>74</v>
      </c>
      <c r="E999" t="s">
        <v>74</v>
      </c>
      <c r="F999" t="s">
        <v>13359</v>
      </c>
      <c r="G999" t="s">
        <v>74</v>
      </c>
      <c r="H999" t="s">
        <v>74</v>
      </c>
      <c r="I999" t="s">
        <v>13360</v>
      </c>
      <c r="J999" t="s">
        <v>2998</v>
      </c>
      <c r="K999" t="s">
        <v>74</v>
      </c>
      <c r="L999" t="s">
        <v>74</v>
      </c>
      <c r="M999" t="s">
        <v>78</v>
      </c>
      <c r="N999" t="s">
        <v>2958</v>
      </c>
      <c r="O999" t="s">
        <v>74</v>
      </c>
      <c r="P999" t="s">
        <v>74</v>
      </c>
      <c r="Q999" t="s">
        <v>74</v>
      </c>
      <c r="R999" t="s">
        <v>74</v>
      </c>
      <c r="S999" t="s">
        <v>74</v>
      </c>
      <c r="T999" t="s">
        <v>74</v>
      </c>
      <c r="U999" t="s">
        <v>13361</v>
      </c>
      <c r="V999" t="s">
        <v>13362</v>
      </c>
      <c r="W999" t="s">
        <v>13363</v>
      </c>
      <c r="X999" t="s">
        <v>13364</v>
      </c>
      <c r="Y999" t="s">
        <v>13365</v>
      </c>
      <c r="Z999" t="s">
        <v>13366</v>
      </c>
      <c r="AA999" t="s">
        <v>13367</v>
      </c>
      <c r="AB999" t="s">
        <v>13368</v>
      </c>
      <c r="AC999" t="s">
        <v>74</v>
      </c>
      <c r="AD999" t="s">
        <v>74</v>
      </c>
      <c r="AE999" t="s">
        <v>74</v>
      </c>
      <c r="AF999" t="s">
        <v>74</v>
      </c>
      <c r="AG999">
        <v>103</v>
      </c>
      <c r="AH999">
        <v>182</v>
      </c>
      <c r="AI999">
        <v>202</v>
      </c>
      <c r="AJ999">
        <v>0</v>
      </c>
      <c r="AK999">
        <v>37</v>
      </c>
      <c r="AL999" t="s">
        <v>3007</v>
      </c>
      <c r="AM999" t="s">
        <v>3008</v>
      </c>
      <c r="AN999" t="s">
        <v>3009</v>
      </c>
      <c r="AO999" t="s">
        <v>3010</v>
      </c>
      <c r="AP999" t="s">
        <v>74</v>
      </c>
      <c r="AQ999" t="s">
        <v>74</v>
      </c>
      <c r="AR999" t="s">
        <v>3011</v>
      </c>
      <c r="AS999" t="s">
        <v>3012</v>
      </c>
      <c r="AT999" t="s">
        <v>11917</v>
      </c>
      <c r="AU999">
        <v>2008</v>
      </c>
      <c r="AV999">
        <v>27</v>
      </c>
      <c r="AW999" t="s">
        <v>3263</v>
      </c>
      <c r="AX999" t="s">
        <v>74</v>
      </c>
      <c r="AY999" t="s">
        <v>74</v>
      </c>
      <c r="AZ999" t="s">
        <v>74</v>
      </c>
      <c r="BA999" t="s">
        <v>74</v>
      </c>
      <c r="BB999">
        <v>365</v>
      </c>
      <c r="BC999">
        <v>390</v>
      </c>
      <c r="BD999" t="s">
        <v>74</v>
      </c>
      <c r="BE999" t="s">
        <v>13369</v>
      </c>
      <c r="BF999" t="str">
        <f>HYPERLINK("http://dx.doi.org/10.1016/j.quascirev.2007.11.011","http://dx.doi.org/10.1016/j.quascirev.2007.11.011")</f>
        <v>http://dx.doi.org/10.1016/j.quascirev.2007.11.011</v>
      </c>
      <c r="BG999" t="s">
        <v>74</v>
      </c>
      <c r="BH999" t="s">
        <v>74</v>
      </c>
      <c r="BI999">
        <v>26</v>
      </c>
      <c r="BJ999" t="s">
        <v>3015</v>
      </c>
      <c r="BK999" t="s">
        <v>419</v>
      </c>
      <c r="BL999" t="s">
        <v>3016</v>
      </c>
      <c r="BM999" t="s">
        <v>13356</v>
      </c>
      <c r="BN999" t="s">
        <v>74</v>
      </c>
      <c r="BO999" t="s">
        <v>74</v>
      </c>
      <c r="BP999" t="s">
        <v>74</v>
      </c>
      <c r="BQ999" t="s">
        <v>74</v>
      </c>
      <c r="BR999" t="s">
        <v>101</v>
      </c>
      <c r="BS999" t="s">
        <v>13370</v>
      </c>
      <c r="BT999" t="str">
        <f>HYPERLINK("https%3A%2F%2Fwww.webofscience.com%2Fwos%2Fwoscc%2Ffull-record%2FWOS:000255534600013","View Full Record in Web of Science")</f>
        <v>View Full Record in Web of Science</v>
      </c>
    </row>
    <row r="1000" spans="1:72" x14ac:dyDescent="0.15">
      <c r="A1000" t="s">
        <v>72</v>
      </c>
      <c r="B1000" t="s">
        <v>13371</v>
      </c>
      <c r="C1000" t="s">
        <v>74</v>
      </c>
      <c r="D1000" t="s">
        <v>74</v>
      </c>
      <c r="E1000" t="s">
        <v>74</v>
      </c>
      <c r="F1000" t="s">
        <v>13372</v>
      </c>
      <c r="G1000" t="s">
        <v>74</v>
      </c>
      <c r="H1000" t="s">
        <v>74</v>
      </c>
      <c r="I1000" t="s">
        <v>13373</v>
      </c>
      <c r="J1000" t="s">
        <v>3059</v>
      </c>
      <c r="K1000" t="s">
        <v>74</v>
      </c>
      <c r="L1000" t="s">
        <v>74</v>
      </c>
      <c r="M1000" t="s">
        <v>78</v>
      </c>
      <c r="N1000" t="s">
        <v>2737</v>
      </c>
      <c r="O1000" t="s">
        <v>74</v>
      </c>
      <c r="P1000" t="s">
        <v>74</v>
      </c>
      <c r="Q1000" t="s">
        <v>74</v>
      </c>
      <c r="R1000" t="s">
        <v>74</v>
      </c>
      <c r="S1000" t="s">
        <v>74</v>
      </c>
      <c r="T1000" t="s">
        <v>74</v>
      </c>
      <c r="U1000" t="s">
        <v>74</v>
      </c>
      <c r="V1000" t="s">
        <v>13374</v>
      </c>
      <c r="W1000" t="s">
        <v>13375</v>
      </c>
      <c r="X1000" t="s">
        <v>74</v>
      </c>
      <c r="Y1000" t="s">
        <v>13376</v>
      </c>
      <c r="Z1000" t="s">
        <v>74</v>
      </c>
      <c r="AA1000" t="s">
        <v>74</v>
      </c>
      <c r="AB1000" t="s">
        <v>74</v>
      </c>
      <c r="AC1000" t="s">
        <v>13377</v>
      </c>
      <c r="AD1000" t="s">
        <v>13378</v>
      </c>
      <c r="AE1000" t="s">
        <v>13379</v>
      </c>
      <c r="AF1000" t="s">
        <v>74</v>
      </c>
      <c r="AG1000">
        <v>3</v>
      </c>
      <c r="AH1000">
        <v>0</v>
      </c>
      <c r="AI1000">
        <v>0</v>
      </c>
      <c r="AJ1000">
        <v>0</v>
      </c>
      <c r="AK1000">
        <v>0</v>
      </c>
      <c r="AL1000" t="s">
        <v>3065</v>
      </c>
      <c r="AM1000" t="s">
        <v>2747</v>
      </c>
      <c r="AN1000" t="s">
        <v>3066</v>
      </c>
      <c r="AO1000" t="s">
        <v>3067</v>
      </c>
      <c r="AP1000" t="s">
        <v>74</v>
      </c>
      <c r="AQ1000" t="s">
        <v>74</v>
      </c>
      <c r="AR1000" t="s">
        <v>3068</v>
      </c>
      <c r="AS1000" t="s">
        <v>3069</v>
      </c>
      <c r="AT1000" t="s">
        <v>11917</v>
      </c>
      <c r="AU1000">
        <v>2008</v>
      </c>
      <c r="AV1000">
        <v>33</v>
      </c>
      <c r="AW1000">
        <v>2</v>
      </c>
      <c r="AX1000" t="s">
        <v>74</v>
      </c>
      <c r="AY1000" t="s">
        <v>74</v>
      </c>
      <c r="AZ1000" t="s">
        <v>74</v>
      </c>
      <c r="BA1000" t="s">
        <v>74</v>
      </c>
      <c r="BB1000">
        <v>130</v>
      </c>
      <c r="BC1000">
        <v>134</v>
      </c>
      <c r="BD1000" t="s">
        <v>74</v>
      </c>
      <c r="BE1000" t="s">
        <v>13380</v>
      </c>
      <c r="BF1000" t="str">
        <f>HYPERLINK("http://dx.doi.org/10.3103/S1068373908020118","http://dx.doi.org/10.3103/S1068373908020118")</f>
        <v>http://dx.doi.org/10.3103/S1068373908020118</v>
      </c>
      <c r="BG1000" t="s">
        <v>74</v>
      </c>
      <c r="BH1000" t="s">
        <v>74</v>
      </c>
      <c r="BI1000">
        <v>5</v>
      </c>
      <c r="BJ1000" t="s">
        <v>3071</v>
      </c>
      <c r="BK1000" t="s">
        <v>419</v>
      </c>
      <c r="BL1000" t="s">
        <v>3071</v>
      </c>
      <c r="BM1000" t="s">
        <v>13381</v>
      </c>
      <c r="BN1000" t="s">
        <v>74</v>
      </c>
      <c r="BO1000" t="s">
        <v>74</v>
      </c>
      <c r="BP1000" t="s">
        <v>74</v>
      </c>
      <c r="BQ1000" t="s">
        <v>74</v>
      </c>
      <c r="BR1000" t="s">
        <v>101</v>
      </c>
      <c r="BS1000" t="s">
        <v>13382</v>
      </c>
      <c r="BT1000" t="str">
        <f>HYPERLINK("https%3A%2F%2Fwww.webofscience.com%2Fwos%2Fwoscc%2Ffull-record%2FWOS:000262677800011","View Full Record in Web of Science")</f>
        <v>View Full Record in Web of Science</v>
      </c>
    </row>
    <row r="1001" spans="1:72" x14ac:dyDescent="0.15">
      <c r="A1001" t="s">
        <v>72</v>
      </c>
      <c r="B1001" t="s">
        <v>13383</v>
      </c>
      <c r="C1001" t="s">
        <v>74</v>
      </c>
      <c r="D1001" t="s">
        <v>74</v>
      </c>
      <c r="E1001" t="s">
        <v>74</v>
      </c>
      <c r="F1001" t="s">
        <v>13384</v>
      </c>
      <c r="G1001" t="s">
        <v>74</v>
      </c>
      <c r="H1001" t="s">
        <v>74</v>
      </c>
      <c r="I1001" t="s">
        <v>13385</v>
      </c>
      <c r="J1001" t="s">
        <v>3494</v>
      </c>
      <c r="K1001" t="s">
        <v>74</v>
      </c>
      <c r="L1001" t="s">
        <v>74</v>
      </c>
      <c r="M1001" t="s">
        <v>78</v>
      </c>
      <c r="N1001" t="s">
        <v>2989</v>
      </c>
      <c r="O1001" t="s">
        <v>74</v>
      </c>
      <c r="P1001" t="s">
        <v>74</v>
      </c>
      <c r="Q1001" t="s">
        <v>74</v>
      </c>
      <c r="R1001" t="s">
        <v>74</v>
      </c>
      <c r="S1001" t="s">
        <v>74</v>
      </c>
      <c r="T1001" t="s">
        <v>74</v>
      </c>
      <c r="U1001" t="s">
        <v>74</v>
      </c>
      <c r="V1001" t="s">
        <v>74</v>
      </c>
      <c r="W1001" t="s">
        <v>13386</v>
      </c>
      <c r="X1001" t="s">
        <v>13387</v>
      </c>
      <c r="Y1001" t="s">
        <v>13388</v>
      </c>
      <c r="Z1001" t="s">
        <v>13389</v>
      </c>
      <c r="AA1001" t="s">
        <v>13390</v>
      </c>
      <c r="AB1001" t="s">
        <v>13391</v>
      </c>
      <c r="AC1001" t="s">
        <v>4704</v>
      </c>
      <c r="AD1001" t="s">
        <v>3031</v>
      </c>
      <c r="AE1001" t="s">
        <v>74</v>
      </c>
      <c r="AF1001" t="s">
        <v>74</v>
      </c>
      <c r="AG1001">
        <v>13</v>
      </c>
      <c r="AH1001">
        <v>26</v>
      </c>
      <c r="AI1001">
        <v>28</v>
      </c>
      <c r="AJ1001">
        <v>0</v>
      </c>
      <c r="AK1001">
        <v>35</v>
      </c>
      <c r="AL1001" t="s">
        <v>3499</v>
      </c>
      <c r="AM1001" t="s">
        <v>3281</v>
      </c>
      <c r="AN1001" t="s">
        <v>3500</v>
      </c>
      <c r="AO1001" t="s">
        <v>3501</v>
      </c>
      <c r="AP1001" t="s">
        <v>3518</v>
      </c>
      <c r="AQ1001" t="s">
        <v>74</v>
      </c>
      <c r="AR1001" t="s">
        <v>3494</v>
      </c>
      <c r="AS1001" t="s">
        <v>3502</v>
      </c>
      <c r="AT1001" t="s">
        <v>12610</v>
      </c>
      <c r="AU1001">
        <v>2008</v>
      </c>
      <c r="AV1001">
        <v>319</v>
      </c>
      <c r="AW1001">
        <v>5863</v>
      </c>
      <c r="AX1001" t="s">
        <v>74</v>
      </c>
      <c r="AY1001" t="s">
        <v>74</v>
      </c>
      <c r="AZ1001" t="s">
        <v>74</v>
      </c>
      <c r="BA1001" t="s">
        <v>74</v>
      </c>
      <c r="BB1001" t="s">
        <v>74</v>
      </c>
      <c r="BC1001" t="s">
        <v>74</v>
      </c>
      <c r="BD1001" t="s">
        <v>74</v>
      </c>
      <c r="BE1001" t="s">
        <v>13392</v>
      </c>
      <c r="BF1001" t="str">
        <f>HYPERLINK("http://dx.doi.org/10.1126/science.1147315","http://dx.doi.org/10.1126/science.1147315")</f>
        <v>http://dx.doi.org/10.1126/science.1147315</v>
      </c>
      <c r="BG1001" t="s">
        <v>74</v>
      </c>
      <c r="BH1001" t="s">
        <v>74</v>
      </c>
      <c r="BI1001">
        <v>4</v>
      </c>
      <c r="BJ1001" t="s">
        <v>3123</v>
      </c>
      <c r="BK1001" t="s">
        <v>419</v>
      </c>
      <c r="BL1001" t="s">
        <v>3124</v>
      </c>
      <c r="BM1001" t="s">
        <v>13393</v>
      </c>
      <c r="BN1001" t="s">
        <v>74</v>
      </c>
      <c r="BO1001" t="s">
        <v>3110</v>
      </c>
      <c r="BP1001" t="s">
        <v>74</v>
      </c>
      <c r="BQ1001" t="s">
        <v>74</v>
      </c>
      <c r="BR1001" t="s">
        <v>101</v>
      </c>
      <c r="BS1001" t="s">
        <v>13394</v>
      </c>
      <c r="BT1001" t="str">
        <f>HYPERLINK("https%3A%2F%2Fwww.webofscience.com%2Fwos%2Fwoscc%2Ffull-record%2FWOS:000252772000020","View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2024-07-28T15:24:39Z</dcterms:created>
  <dcterms:modified xsi:type="dcterms:W3CDTF">2024-07-28T15:24:39Z</dcterms:modified>
</cp:coreProperties>
</file>